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lori\OneDrive\Bureau\"/>
    </mc:Choice>
  </mc:AlternateContent>
  <xr:revisionPtr revIDLastSave="0" documentId="13_ncr:1_{8B311C0F-3BFC-4807-BEBE-D0B65EEAF4B3}" xr6:coauthVersionLast="47" xr6:coauthVersionMax="47" xr10:uidLastSave="{00000000-0000-0000-0000-000000000000}"/>
  <bookViews>
    <workbookView xWindow="18705" yWindow="-21600" windowWidth="26010" windowHeight="20985" xr2:uid="{00000000-000D-0000-FFFF-FFFF00000000}"/>
  </bookViews>
  <sheets>
    <sheet name="Bienvenue" sheetId="1" r:id="rId1"/>
    <sheet name="Cockpit" sheetId="2" r:id="rId2"/>
    <sheet name="1 Voir clair" sheetId="3" r:id="rId3"/>
    <sheet name="2 Se situer" sheetId="4" r:id="rId4"/>
    <sheet name="3 Se déplacer" sheetId="5" r:id="rId5"/>
    <sheet name="4 Prendre son avance" sheetId="6" r:id="rId6"/>
    <sheet name="Mes 90 jours" sheetId="7" r:id="rId7"/>
  </sheets>
  <definedNames>
    <definedName name="_xlnm.Print_Titles" localSheetId="2">'1 Voir clair'!$1:$3</definedName>
    <definedName name="_xlnm.Print_Titles" localSheetId="3">'2 Se situer'!$1:$3</definedName>
    <definedName name="_xlnm.Print_Titles" localSheetId="4">'3 Se déplacer'!$1:$3</definedName>
    <definedName name="_xlnm.Print_Titles" localSheetId="5">'4 Prendre son avance'!$1:$3</definedName>
    <definedName name="_xlnm.Print_Titles" localSheetId="6">'Mes 90 jours'!$1:$3</definedName>
    <definedName name="_xlnm.Print_Area" localSheetId="2">'1 Voir clair'!$A$1:$E$70</definedName>
    <definedName name="_xlnm.Print_Area" localSheetId="3">'2 Se situer'!$A$1:$E$116</definedName>
    <definedName name="_xlnm.Print_Area" localSheetId="4">'3 Se déplacer'!$A$1:$E$93</definedName>
    <definedName name="_xlnm.Print_Area" localSheetId="5">'4 Prendre son avance'!$A$1:$E$90</definedName>
    <definedName name="_xlnm.Print_Area" localSheetId="0">Bienvenue!$A$1:$C$33</definedName>
    <definedName name="_xlnm.Print_Area" localSheetId="1">Cockpit!$A$1:$F$56</definedName>
    <definedName name="_xlnm.Print_Area" localSheetId="6">'Mes 90 jours'!$A$1:$E$46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7" l="1"/>
  <c r="F43" i="7"/>
  <c r="F42" i="7"/>
  <c r="F41" i="7"/>
  <c r="F40" i="7"/>
  <c r="F39" i="7"/>
  <c r="F38" i="7"/>
  <c r="F37" i="7"/>
  <c r="F36" i="7"/>
  <c r="F35" i="7"/>
  <c r="F34" i="7"/>
  <c r="F33" i="7"/>
  <c r="E28" i="7"/>
  <c r="E27" i="7"/>
  <c r="E26" i="7"/>
  <c r="E25" i="7"/>
  <c r="E24" i="7"/>
  <c r="E23" i="7"/>
  <c r="E22" i="7"/>
  <c r="E21" i="7"/>
  <c r="E20" i="7"/>
  <c r="E19" i="7"/>
  <c r="E18" i="7"/>
  <c r="E17" i="7"/>
  <c r="Z3" i="7"/>
  <c r="Z2" i="7"/>
  <c r="B45" i="2" s="1"/>
  <c r="E45" i="2" s="1"/>
  <c r="Z1" i="7"/>
  <c r="B3" i="7" s="1"/>
  <c r="E85" i="6"/>
  <c r="E84" i="6"/>
  <c r="E83" i="6"/>
  <c r="E82" i="6"/>
  <c r="E81" i="6"/>
  <c r="E80" i="6"/>
  <c r="E75" i="6"/>
  <c r="E74" i="6"/>
  <c r="E73" i="6"/>
  <c r="E72" i="6"/>
  <c r="E71" i="6"/>
  <c r="X66" i="6"/>
  <c r="E66" i="6" s="1"/>
  <c r="E63" i="6"/>
  <c r="E62" i="6"/>
  <c r="E61" i="6"/>
  <c r="E60" i="6"/>
  <c r="E59" i="6"/>
  <c r="E54" i="6"/>
  <c r="E53" i="6"/>
  <c r="E52" i="6"/>
  <c r="E51" i="6"/>
  <c r="E50" i="6"/>
  <c r="X43" i="6"/>
  <c r="E43" i="6" s="1"/>
  <c r="E40" i="6"/>
  <c r="E39" i="6"/>
  <c r="E38" i="6"/>
  <c r="E37" i="6"/>
  <c r="E32" i="6"/>
  <c r="E31" i="6"/>
  <c r="X26" i="6"/>
  <c r="E26" i="6" s="1"/>
  <c r="E23" i="6"/>
  <c r="E22" i="6"/>
  <c r="E21" i="6"/>
  <c r="E20" i="6"/>
  <c r="E15" i="6"/>
  <c r="E14" i="6"/>
  <c r="E13" i="6"/>
  <c r="E12" i="6"/>
  <c r="E11" i="6"/>
  <c r="E10" i="6"/>
  <c r="Z5" i="6"/>
  <c r="X5" i="6"/>
  <c r="E5" i="6"/>
  <c r="E88" i="5"/>
  <c r="E87" i="5"/>
  <c r="E86" i="5"/>
  <c r="E81" i="5"/>
  <c r="E80" i="5"/>
  <c r="E79" i="5"/>
  <c r="E78" i="5"/>
  <c r="E77" i="5"/>
  <c r="X68" i="5"/>
  <c r="E68" i="5" s="1"/>
  <c r="E65" i="5"/>
  <c r="E64" i="5"/>
  <c r="E63" i="5"/>
  <c r="E62" i="5"/>
  <c r="E61" i="5"/>
  <c r="E60" i="5"/>
  <c r="E55" i="5"/>
  <c r="E54" i="5"/>
  <c r="E53" i="5"/>
  <c r="X47" i="5"/>
  <c r="E47" i="5" s="1"/>
  <c r="E44" i="5"/>
  <c r="E43" i="5"/>
  <c r="E42" i="5"/>
  <c r="E37" i="5"/>
  <c r="E36" i="5"/>
  <c r="E35" i="5"/>
  <c r="E34" i="5"/>
  <c r="E33" i="5"/>
  <c r="E32" i="5"/>
  <c r="X27" i="5"/>
  <c r="E27" i="5" s="1"/>
  <c r="E24" i="5"/>
  <c r="E23" i="5"/>
  <c r="E18" i="5"/>
  <c r="E17" i="5"/>
  <c r="E16" i="5"/>
  <c r="E15" i="5"/>
  <c r="B14" i="5"/>
  <c r="E13" i="5"/>
  <c r="E12" i="5"/>
  <c r="E11" i="5"/>
  <c r="E10" i="5"/>
  <c r="X5" i="5"/>
  <c r="E5" i="5" s="1"/>
  <c r="E111" i="4"/>
  <c r="E110" i="4"/>
  <c r="E105" i="4"/>
  <c r="E102" i="4"/>
  <c r="E101" i="4"/>
  <c r="E100" i="4"/>
  <c r="E99" i="4"/>
  <c r="E98" i="4"/>
  <c r="X93" i="4"/>
  <c r="E93" i="4" s="1"/>
  <c r="E90" i="4"/>
  <c r="E89" i="4"/>
  <c r="E88" i="4"/>
  <c r="E83" i="4"/>
  <c r="B82" i="4"/>
  <c r="B103" i="4" s="1"/>
  <c r="B104" i="4" s="1"/>
  <c r="E81" i="4"/>
  <c r="E80" i="4"/>
  <c r="D78" i="4"/>
  <c r="C78" i="4"/>
  <c r="B78" i="4"/>
  <c r="D77" i="4"/>
  <c r="C77" i="4"/>
  <c r="B77" i="4"/>
  <c r="D76" i="4"/>
  <c r="C76" i="4"/>
  <c r="B76" i="4"/>
  <c r="X69" i="4"/>
  <c r="E69" i="4"/>
  <c r="Z69" i="4" s="1"/>
  <c r="E66" i="4"/>
  <c r="E65" i="4"/>
  <c r="E60" i="4"/>
  <c r="E59" i="4"/>
  <c r="B57" i="4"/>
  <c r="B40" i="2" s="1"/>
  <c r="E40" i="2" s="1"/>
  <c r="B56" i="4"/>
  <c r="B55" i="4"/>
  <c r="B54" i="4"/>
  <c r="X37" i="4"/>
  <c r="E37" i="4" s="1"/>
  <c r="E34" i="4"/>
  <c r="E33" i="4"/>
  <c r="E32" i="4"/>
  <c r="C27" i="4"/>
  <c r="B27" i="4"/>
  <c r="C26" i="4"/>
  <c r="B26" i="4"/>
  <c r="C25" i="4"/>
  <c r="B25" i="4"/>
  <c r="M92" i="2" s="1"/>
  <c r="X5" i="4"/>
  <c r="E5" i="4" s="1"/>
  <c r="E65" i="3"/>
  <c r="E64" i="3"/>
  <c r="X51" i="3"/>
  <c r="E51" i="3" s="1"/>
  <c r="E48" i="3"/>
  <c r="E47" i="3"/>
  <c r="E46" i="3"/>
  <c r="E34" i="3"/>
  <c r="E33" i="3"/>
  <c r="E32" i="3"/>
  <c r="X27" i="3"/>
  <c r="E27" i="3" s="1"/>
  <c r="E12" i="3"/>
  <c r="E11" i="3"/>
  <c r="E10" i="3"/>
  <c r="X5" i="3"/>
  <c r="E5" i="3" s="1"/>
  <c r="M94" i="2"/>
  <c r="M91" i="2"/>
  <c r="M90" i="2"/>
  <c r="N71" i="2"/>
  <c r="O71" i="2" s="1"/>
  <c r="N65" i="2"/>
  <c r="O65" i="2" s="1"/>
  <c r="C50" i="2"/>
  <c r="B50" i="2"/>
  <c r="C49" i="2"/>
  <c r="B49" i="2"/>
  <c r="B41" i="2"/>
  <c r="E41" i="2" s="1"/>
  <c r="B32" i="2"/>
  <c r="B31" i="2"/>
  <c r="B30" i="2"/>
  <c r="B28" i="2"/>
  <c r="B27" i="2"/>
  <c r="B26" i="2"/>
  <c r="B23" i="2"/>
  <c r="B22" i="2"/>
  <c r="B18" i="2"/>
  <c r="B17" i="2"/>
  <c r="B16" i="2"/>
  <c r="N72" i="2" l="1"/>
  <c r="O72" i="2" s="1"/>
  <c r="B43" i="2"/>
  <c r="E43" i="2" s="1"/>
  <c r="Z26" i="6"/>
  <c r="Z68" i="5"/>
  <c r="N70" i="2"/>
  <c r="O70" i="2" s="1"/>
  <c r="M93" i="2"/>
  <c r="O69" i="2"/>
  <c r="B24" i="2"/>
  <c r="Z1" i="5"/>
  <c r="Z47" i="5"/>
  <c r="N69" i="2"/>
  <c r="Z51" i="3"/>
  <c r="N62" i="2"/>
  <c r="O62" i="2" s="1"/>
  <c r="Z66" i="6"/>
  <c r="N74" i="2"/>
  <c r="O74" i="2" s="1"/>
  <c r="N66" i="2"/>
  <c r="O66" i="2" s="1"/>
  <c r="Z93" i="4"/>
  <c r="Z27" i="3"/>
  <c r="N61" i="2"/>
  <c r="O61" i="2" s="1"/>
  <c r="N60" i="2"/>
  <c r="O60" i="2" s="1"/>
  <c r="A5" i="2" s="1"/>
  <c r="M95" i="2" s="1"/>
  <c r="Z5" i="3"/>
  <c r="Z2" i="3" s="1"/>
  <c r="Z37" i="4"/>
  <c r="N64" i="2"/>
  <c r="O64" i="2" s="1"/>
  <c r="B42" i="2"/>
  <c r="E42" i="2" s="1"/>
  <c r="Z5" i="5"/>
  <c r="N67" i="2"/>
  <c r="O67" i="2" s="1"/>
  <c r="Z27" i="5"/>
  <c r="N68" i="2"/>
  <c r="O68" i="2" s="1"/>
  <c r="Z43" i="6"/>
  <c r="Z2" i="6" s="1"/>
  <c r="N73" i="2"/>
  <c r="O73" i="2" s="1"/>
  <c r="B44" i="2"/>
  <c r="E44" i="2" s="1"/>
  <c r="Z5" i="4"/>
  <c r="N63" i="2"/>
  <c r="O63" i="2" s="1"/>
  <c r="B20" i="2"/>
  <c r="B21" i="2"/>
  <c r="B39" i="2"/>
  <c r="E39" i="2" s="1"/>
  <c r="B48" i="2"/>
  <c r="C48" i="2"/>
  <c r="A3" i="7"/>
  <c r="B29" i="2" l="1"/>
  <c r="A88" i="6"/>
  <c r="C12" i="2"/>
  <c r="B3" i="6"/>
  <c r="A3" i="6"/>
  <c r="B12" i="2"/>
  <c r="B8" i="2"/>
  <c r="A68" i="3"/>
  <c r="B15" i="2"/>
  <c r="B3" i="3"/>
  <c r="A3" i="3"/>
  <c r="C9" i="2"/>
  <c r="B9" i="2"/>
  <c r="Z2" i="4"/>
  <c r="M96" i="2"/>
  <c r="A35" i="2" s="1"/>
  <c r="Z2" i="5"/>
  <c r="A3" i="5" s="1"/>
  <c r="B25" i="2" l="1"/>
  <c r="A114" i="4"/>
  <c r="C10" i="2"/>
  <c r="B3" i="4"/>
  <c r="B10" i="2"/>
  <c r="A3" i="4"/>
  <c r="B19" i="2"/>
  <c r="A8" i="2"/>
  <c r="A91" i="5"/>
  <c r="C11" i="2"/>
  <c r="B11" i="2"/>
  <c r="B3" i="5"/>
</calcChain>
</file>

<file path=xl/sharedStrings.xml><?xml version="1.0" encoding="utf-8"?>
<sst xmlns="http://schemas.openxmlformats.org/spreadsheetml/2006/main" count="673" uniqueCount="537">
  <si>
    <t>IRREMPLAÇABLE</t>
  </si>
  <si>
    <t>Le plan pour réussir sa carrière à l’ère de l’IA</t>
  </si>
  <si>
    <t>MON COCKPIT</t>
  </si>
  <si>
    <t>COMMENT ÇA MARCHE</t>
  </si>
  <si>
    <t>❶   Un geste par chapitre.</t>
  </si>
  <si>
    <t xml:space="preserve">        Quinze chapitres, quinze gestes. Le livre en propose bien d’autres : ceux-là suffisent.</t>
  </si>
  <si>
    <t>❷   Quinze minutes chacun, environ quatre heures en tout.</t>
  </si>
  <si>
    <t xml:space="preserve">        Étalées sur quatre-vingt-dix jours. Rien ne se fait en une soirée, et c’est voulu.</t>
  </si>
  <si>
    <t>❸   Écrivez dans les cases blanches, elles passent au vert.</t>
  </si>
  <si>
    <t xml:space="preserve">        Chaque case porte un exemple en gris : effacez-le et écrivez le vôtre. Le reste se calcule seul.</t>
  </si>
  <si>
    <t>❹   Le Cockpit se remplit tout seul.</t>
  </si>
  <si>
    <t xml:space="preserve">        Votre position, votre cap, votre synthèse : rien à y saisir, tout y remonte.</t>
  </si>
  <si>
    <t>❺   Un chapitre à la fois, dans l’ordre.</t>
  </si>
  <si>
    <t xml:space="preserve">        Chaque mouvement s’appuie sur le précédent. Un chapitre laissé ouvert se reprend avant d’ouvrir le suivant.</t>
  </si>
  <si>
    <t>PAR OÙ COMMENCER</t>
  </si>
  <si>
    <t>Ouvrez l’onglet « 1 Voir clair » et faites le premier geste. Dix minutes, un papier aurait suffi. Puis revenez au Cockpit : vous y verrez apparaître vos premières lignes.</t>
  </si>
  <si>
    <t>Ce cockpit accompagne le livre. Il ne le remplace pas : chaque geste renvoie à son chapitre, où il est expliqué, situé et illustré.</t>
  </si>
  <si>
    <t>IRREMPLAÇABLE — Le plan pour réussir sa carrière à l’ère de l’IA</t>
  </si>
  <si>
    <t>inovapolis.fr/le-livre</t>
  </si>
  <si>
    <t>IRREMPLAÇABLE — mon cockpit</t>
  </si>
  <si>
    <t>Un geste par chapitre, quinze minutes chacun. Les cases blanches sont à vous : elles passent au vert dès que vous écrivez dedans, et tout ici se met à jour tout seul.</t>
  </si>
  <si>
    <t>▸   MON PROCHAIN PAS</t>
  </si>
  <si>
    <t>MA PROGRESSION</t>
  </si>
  <si>
    <t>❶  Voir clair</t>
  </si>
  <si>
    <t>chapitres 1 à 3</t>
  </si>
  <si>
    <t>❷  Se situer</t>
  </si>
  <si>
    <t>chapitres 4 à 7</t>
  </si>
  <si>
    <t>❸  Se déplacer</t>
  </si>
  <si>
    <t>chapitres 8 à 11</t>
  </si>
  <si>
    <t>❹  Prendre l’avance</t>
  </si>
  <si>
    <t>chapitres 12 à 15</t>
  </si>
  <si>
    <t>MA SYNTHÈSE   —   elle s’écrit toute seule, un chapitre après l’autre</t>
  </si>
  <si>
    <t>❶  CE QUE JE VOIS</t>
  </si>
  <si>
    <t>Ma question, celle dont je suis le sujet</t>
  </si>
  <si>
    <t>chapitre 1</t>
  </si>
  <si>
    <t>Ce qui devient banal chez moi</t>
  </si>
  <si>
    <t>chapitre 2</t>
  </si>
  <si>
    <t>Ce qui reste rare chez moi</t>
  </si>
  <si>
    <t>chapitre 3</t>
  </si>
  <si>
    <t>❷  OÙ J’EN SUIS</t>
  </si>
  <si>
    <t>Mes tâches, comptées</t>
  </si>
  <si>
    <t>chapitre 4</t>
  </si>
  <si>
    <t>Ma façon de faire</t>
  </si>
  <si>
    <t>chapitre 5</t>
  </si>
  <si>
    <t>Ma position sur la carte</t>
  </si>
  <si>
    <t>chapitre 6</t>
  </si>
  <si>
    <t>Mon métier, et où il va</t>
  </si>
  <si>
    <t>chapitre 7</t>
  </si>
  <si>
    <t>MON CAP</t>
  </si>
  <si>
    <t>❸  CE QUE JE DÉPLACE</t>
  </si>
  <si>
    <t>Le temps que je rends ira à</t>
  </si>
  <si>
    <t>chapitre 8</t>
  </si>
  <si>
    <t>Mon cran au-dessus</t>
  </si>
  <si>
    <t>chapitre 9</t>
  </si>
  <si>
    <t>Ce que la machine rate chez moi</t>
  </si>
  <si>
    <t>chapitre 11</t>
  </si>
  <si>
    <t>❹  MON AVANCE</t>
  </si>
  <si>
    <t>Ma phrase d’ancrage</t>
  </si>
  <si>
    <t>chapitre 13</t>
  </si>
  <si>
    <t>Ce que j’ai éteint</t>
  </si>
  <si>
    <t>chapitre 14</t>
  </si>
  <si>
    <t>Mon poste d’observation</t>
  </si>
  <si>
    <t>chapitre 15</t>
  </si>
  <si>
    <t>CE QUE ÇA VEUT DIRE POUR VOUS</t>
  </si>
  <si>
    <t>Votre profil, dimension par dimension</t>
  </si>
  <si>
    <t>La dimension</t>
  </si>
  <si>
    <t>Votre score</t>
  </si>
  <si>
    <t>Ce que ça mesure</t>
  </si>
  <si>
    <t>Où ça se joue</t>
  </si>
  <si>
    <t>Mes tâches</t>
  </si>
  <si>
    <t>Celles que la machine ne fera pas à ma place</t>
  </si>
  <si>
    <t>J’attends, je suis, ou je choisis</t>
  </si>
  <si>
    <t>Mon métier</t>
  </si>
  <si>
    <t>Est-ce qu’on en aura besoin demain</t>
  </si>
  <si>
    <t>Ma maîtrise des outils</t>
  </si>
  <si>
    <t>Je dirige la machine, ou elle me porte</t>
  </si>
  <si>
    <t>Ce qui ne se copie pas</t>
  </si>
  <si>
    <t>Mes relations, mon jugement, ma marque</t>
  </si>
  <si>
    <t>Ma capacité à réapprendre</t>
  </si>
  <si>
    <t>Ce que j’apprends, ce que j’arrête</t>
  </si>
  <si>
    <t>Mon rituel</t>
  </si>
  <si>
    <t>Mes quinze minutes par semaine, tenues</t>
  </si>
  <si>
    <t>CE QUI SE TIENT — un rituel ne se fait pas, il se tient</t>
  </si>
  <si>
    <t>Quinzaines validées</t>
  </si>
  <si>
    <t>Quarts d’heure du stratège</t>
  </si>
  <si>
    <t>Décisions consignées au journal</t>
  </si>
  <si>
    <t>Voir clair  +  Se situer  +  Se déplacer  +  Prendre l’avance  =  de remplaçable à indispensable</t>
  </si>
  <si>
    <t>La règle du livre : une position se quitte, un rituel se tient. Un chapitre qui reste ouvert se reprend avant d’ouvrir le suivant.</t>
  </si>
  <si>
    <t>Chapitre 1 — écrivez la question qui vous occupe, puis reformulez-la jusqu’à en être le sujet. Dix minutes, ce soir.</t>
  </si>
  <si>
    <t>Chapitre 2 — repérez une tâche que vous accélérez, et demandez-lui si elle devient banale. Dix minutes.</t>
  </si>
  <si>
    <t>Chapitre 3 — notez trois moments où aucun outil n’aurait pu faire ce que vous avez fait. Quinze minutes.</t>
  </si>
  <si>
    <t>Chapitre 4 — vos dix tâches, vos colonnes, vos ronds de valeur. Vingt minutes, et c’est le geste le plus rentable du livre.</t>
  </si>
  <si>
    <t>Chapitre 5 — répondez aux neuf situations, puis écrivez votre lettre et le fait qui la prouve. Quinze minutes.</t>
  </si>
  <si>
    <t>Chapitre 6 — croisez votre ligne et votre colonne, lisez votre case, écrivez votre cap. Quinze minutes.</t>
  </si>
  <si>
    <t>Chapitre 7 — votre fiche terrain, et votre cap en toutes lettres. Une heure, ce week-end.</t>
  </si>
  <si>
    <t>Chapitre 8 — triez une tâche, déléguez-la en sandwich, et écrivez où ira le temps rendu. Quinze minutes.</t>
  </si>
  <si>
    <t>Chapitre 9 — quatre questions sur la tâche déléguée : le cran qui revient est votre direction. Dix minutes.</t>
  </si>
  <si>
    <t>Chapitre 10 — listez votre socle transférable : ce qui traverse avec vous. Trente minutes.</t>
  </si>
  <si>
    <t>Chapitre 11 — testez le sparring, le pré-mortem, l’avocat du diable. Quinze minutes.</t>
  </si>
  <si>
    <t>Chapitre 12 — ouvrez le journal : quatre lignes datées avant votre prochaine décision. Quinze minutes.</t>
  </si>
  <si>
    <t>Chapitre 13 — écrivez votre phrase d’ancrage. Dix minutes, et c’est elle qui protège tout le reste.</t>
  </si>
  <si>
    <t>Chapitre 14 — un écart, des séances en mode examinateur, une pratique éteinte et datée. Quinze minutes.</t>
  </si>
  <si>
    <t>Chapitre 15 — choisissez votre poste d’observation et bloquez une heure par mois. Quinze minutes.</t>
  </si>
  <si>
    <t xml:space="preserve">Votre synthèse s’écrira ici, phrase par phrase, à mesure que vous avancez. Elle a besoin de quatre choses : vos dix tâches (chapitre 4), votre lettre (chapitre 5), votre croix (chapitre 6) et votre terrain (chapitre 7). Une heure en tout. </t>
  </si>
  <si>
    <t xml:space="preserve">Ce qui vous rendra irremplaçable n’est pas de résister : c’est de confier à la machine ce que vous avez déjà dépassé, de garder le dernier regard, et de remonter d’un cran là où la valeur se concentre — le cadrage, l’arbitrage, la relation. Chapitres 8, 9 et 11. </t>
  </si>
  <si>
    <t xml:space="preserve">Votre métier ne va nulle part, vos tâches si. Déplacez-les sans attendre : déléguez ce que vous avez dépassé, écrivez où ira le temps rendu avant de le gagner, et réinvestissez-le sur ce que personne ne peut faire à votre place. Chapitres 8 et 9. </t>
  </si>
  <si>
    <t xml:space="preserve">Votre socle est transférable, votre terrain non. Construisez le pont pendant qu’on vous paie encore : une preuve minimale, un premier pied, un récit de transfert. Jamais un grand saut, toujours un pas de côté. Chapitre 10. </t>
  </si>
  <si>
    <t xml:space="preserve">Ne basculez pas à vide. Bâtissez d’abord une preuve que ceux d’en face reconnaissent, puis posez un premier pied sans lâcher vos revenus. Chapitre 10. </t>
  </si>
  <si>
    <t xml:space="preserve">Le milieu se vide : visez un des deux bouts, jamais le centre. Chapitre 10. </t>
  </si>
  <si>
    <t>❶   Voir clair</t>
  </si>
  <si>
    <t>Chapitres 1 à 3 · un geste par chapitre · les cases blanches sont à vous, elles passent au vert dès que vous écrivez dedans</t>
  </si>
  <si>
    <t>CHAPITRE 1 · La bonne peur, la mauvaise cible   —   10 minutes</t>
  </si>
  <si>
    <t>LE GESTE</t>
  </si>
  <si>
    <t>Écrivez la question qui vous occupe, telle qu’elle vient, sans la maquiller. Puis regardez-la : qui est le sujet de cette phrase ? Si ce n’est pas vous, reformulez-la jusqu’à ce que ce soit vous.</t>
  </si>
  <si>
    <t>LE GAIN</t>
  </si>
  <si>
    <t>Votre inquiétude a une réponse possible, et elle dépend de vous.</t>
  </si>
  <si>
    <t>▸  À REMPLIR   —   les mentions en gris sont des exemples, effacez-les</t>
  </si>
  <si>
    <t>Ma question, telle qu’elle vient</t>
  </si>
  <si>
    <t>Ex. : est-ce que mon poste existera encore dans trois ans ?</t>
  </si>
  <si>
    <t>Qui est le sujet de cette phrase ?</t>
  </si>
  <si>
    <t>Ex. : mon poste. Donc ce n’est pas moi.</t>
  </si>
  <si>
    <t>Ma question reformulée (le sujet, c’est moi)</t>
  </si>
  <si>
    <t>Ex. : qu’est-ce que je renforce cette année pour peser plus que mon intitulé ?</t>
  </si>
  <si>
    <t>« est-ce que mon poste existera encore ? » devient « qu’est-ce que je renforce cette année pour peser plus que mon intitulé ? »</t>
  </si>
  <si>
    <t>POUR ALLER PLUS LOIN — Le relevé de sept jours   (facultatif, ne compte pas dans votre progression)</t>
  </si>
  <si>
    <t>Chaque fois que l’IA touche votre journée — un outil, une actualité, une conversation, une démo en réunion — une ligne. Rien d’autre.</t>
  </si>
  <si>
    <t>Jour</t>
  </si>
  <si>
    <t>Ce qui s’est passé (une ligne)</t>
  </si>
  <si>
    <t>Menace ou occasion ?</t>
  </si>
  <si>
    <t>CHAPITRE 2 · Le piège de la vitesse   —   10 minutes</t>
  </si>
  <si>
    <t>Repérez une tâche que vous accélérez actuellement avec l’IA, et posez-lui la question du chapitre : est-elle en train de devenir banale ?</t>
  </si>
  <si>
    <t>Vous savez ce qui perd de la valeur chez vous, et pourquoi aller plus vite ne protège de rien.</t>
  </si>
  <si>
    <t>La tâche que j’accélère</t>
  </si>
  <si>
    <t>Ex. : la rédaction de mes comptes rendus de réunion</t>
  </si>
  <si>
    <t>Est-elle en train de devenir banale ?</t>
  </si>
  <si>
    <t>Ce que ça me dit de mon exposition</t>
  </si>
  <si>
    <t>Ex. : je deviens très rapide sur une tâche dont le prix s’effondre</t>
  </si>
  <si>
    <t>Si oui, vous venez de localiser votre exposition au piège : vous devenez la championne locale d’un exercice dont le prix s’effondre.</t>
  </si>
  <si>
    <t>POUR ALLER PLUS LOIN — Mes usages en deux colonnes, et mon créneau sanctuarisé   (facultatif, ne compte pas dans votre progression)</t>
  </si>
  <si>
    <t>Listez tous vos usages de l’outil et classez-les. Le rapport entre les deux colonnes, c’est votre position exacte face au piège.</t>
  </si>
  <si>
    <t>L’usage</t>
  </si>
  <si>
    <t>Accélération de l’existant, ou déplacement vers du nouveau ?</t>
  </si>
  <si>
    <t>Mon créneau fixe (attaché à un moment qui existe déjà)</t>
  </si>
  <si>
    <t>Ex. : le vendredi avant de partir</t>
  </si>
  <si>
    <t>Invisible ? (il ne s’annonce pas, n’apparaît dans aucun agenda partagé)</t>
  </si>
  <si>
    <t>Le contenu décidé d’avance, pour les quatre premières semaines</t>
  </si>
  <si>
    <t>Ex. : S1 les deux colonnes, S2 la question que personne ne pose, S3 juger une production, S4 relier deux sujets</t>
  </si>
  <si>
    <t>CHAPITRE 3 · Ce qui reste rare, et ce qui ne le restera pas   —   15 minutes</t>
  </si>
  <si>
    <t>Notez trois moments récents où votre jugement, votre relation ou votre sang-froid dans le flou a fait la différence là où aucun outil n’aurait rien pu faire. Trois moments, trois lignes.</t>
  </si>
  <si>
    <t>Vous savez ce qui garde de la valeur chez vous, et vous découvrez que vous occupez déjà ces territoires.</t>
  </si>
  <si>
    <t>Le moment (une ligne, un fait précis)</t>
  </si>
  <si>
    <t>Le territoire</t>
  </si>
  <si>
    <t>Le moment où on est venu vous chercher VOUS se range presque à coup sûr dans l’un de ces cinq territoires.</t>
  </si>
  <si>
    <t>POUR ALLER PLUS LOIN — Les mots des autres   (facultatif, ne compte pas dans votre progression)</t>
  </si>
  <si>
    <t>Demandez à deux personnes qui travaillent avec vous ce qu’elles viennent chercher chez vous précisément, qu’elles ne trouveraient pas ailleurs. Notez leurs mots exacts.</t>
  </si>
  <si>
    <t>Personne 1 — ses mots exacts</t>
  </si>
  <si>
    <t>Ex. : « toi au moins tu sais où c’est écrit »</t>
  </si>
  <si>
    <t>Personne 2 — ses mots exacts</t>
  </si>
  <si>
    <t>Ex. : « tu comprends vite ce que je veux dire »</t>
  </si>
  <si>
    <t>❷   Se situer</t>
  </si>
  <si>
    <t>Chapitres 4 à 7 · un geste par chapitre · les cases blanches sont à vous, elles passent au vert dès que vous écrivez dedans</t>
  </si>
  <si>
    <t>CHAPITRE 4 · Découpez votre métier en tâches   —   20 minutes</t>
  </si>
  <si>
    <t>Listez les dix tâches qui remplissent vraiment vos semaines, les dix vraies, pas celles de la fiche de poste. Ajoutez-en une onzième : celle que personne ne voit. Classez chacune, dites pourquoi, pesez sa valeur.</t>
  </si>
  <si>
    <t>Votre exposition devient un chiffre à vous, pas une moyenne nationale.</t>
  </si>
  <si>
    <t>La tâche</t>
  </si>
  <si>
    <t>Colonne</t>
  </si>
  <si>
    <t>Pourquoi</t>
  </si>
  <si>
    <t>Valeur</t>
  </si>
  <si>
    <t>Votre relief, calculé avec vos réponses</t>
  </si>
  <si>
    <t>Nombre de tâches</t>
  </si>
  <si>
    <t>Part de vos tâches</t>
  </si>
  <si>
    <t>Automatisable</t>
  </si>
  <si>
    <t>Augmentable</t>
  </si>
  <si>
    <t>Irremplaçable</t>
  </si>
  <si>
    <t>Ex. : Arbitrer entre deux équipes qui veulent la même ressource · Irremplaçable · Deux susceptibilités, un historique, une décision à porter · ●●●</t>
  </si>
  <si>
    <t>POUR ALLER PLUS LOIN — Le temps réel, la tâche signature, le tissu   (facultatif, ne compte pas dans votre progression)</t>
  </si>
  <si>
    <t>Des tâches automatisables très présentes en volume mais tissées entre des gestes rares ne s’externalisent pas comme un bloc de deux heures.</t>
  </si>
  <si>
    <t>Ce que l’écart entre mon temps et ma valeur me montre</t>
  </si>
  <si>
    <t>Ex. : je passe 60 % de mes heures sur mes tâches les moins payées</t>
  </si>
  <si>
    <t>Ma tâche signature (on vient me chercher, moi ; mon absence se paie cash)</t>
  </si>
  <si>
    <t>Ex. : désamorcer un client qui menace de partir</t>
  </si>
  <si>
    <t>Le tissu de mes journées</t>
  </si>
  <si>
    <t>CHAPITRE 5 · Les trois postures face à l’IA   —   15 minutes</t>
  </si>
  <si>
    <t>Répondez aux neuf situations, sans chercher la bonne réponse. Dépouillez. Puis écrivez votre lettre dominante et le fait précis qui la prouve.</t>
  </si>
  <si>
    <t>Vous savez comment vous vous tenez face à ce qui bouge. Sur pièces, pas en intention.</t>
  </si>
  <si>
    <t>N°</t>
  </si>
  <si>
    <t>La situation</t>
  </si>
  <si>
    <t>Les trois réponses</t>
  </si>
  <si>
    <t>Ma réponse</t>
  </si>
  <si>
    <t>Une nouveauté IA débarque dans votre environnement de travail. Votre premier réflexe, le vrai :</t>
  </si>
  <si>
    <t>A. J’attends de voir. — B. J’essaie vite fait, pour ne pas être largué. — C. Je me demande d’abord ce que ça change à mes tâches à moi.</t>
  </si>
  <si>
    <t>Au dîner, quelqu’un lance : « l’IA va remplacer les trois quarts des métiers ».</t>
  </si>
  <si>
    <t>A. Ça m’agace ou ça m’inquiète, je change de sujet. — B. Il faudra bien s’y mettre un jour. — C. Je corrige, au moins dans ma tête : pas des métiers, des tâches.</t>
  </si>
  <si>
    <t>La dernière fois qu’un outil vous a fait gagner une vraie heure :</t>
  </si>
  <si>
    <t>A. Ça ne m’est pas arrivé récemment. — B. J’étais content, et l’heure s’est remplie toute seule. — C. Je me suis demandé ce que je faisais de ce temps.</t>
  </si>
  <si>
    <t>Un essai qui rate : résultat absurde, temps perdu.</t>
  </si>
  <si>
    <t>A. Confirmation : ce n’est pas pour moi. — B. Je réessaierai quand ce sera mûr. — C. Je cherche ce que j’ai mal demandé, ou je note que cet usage-là ne marche pas encore.</t>
  </si>
  <si>
    <t>Votre métier dans un an :</t>
  </si>
  <si>
    <t>A. Je préfère ne pas trop y penser. — B. Ça va bouger, je m’adapterai. — C. J’ai une idée de ce qui bascule, et de ce que je veux prendre.</t>
  </si>
  <si>
    <t>Un collègue ou un confrère utilise l’IA visiblement mieux que vous :</t>
  </si>
  <si>
    <t>A. Grand bien lui fasse. — B. Je lui demande ses astuces. — C. Je regarde ce que ça lui libère, et ce qu’il en fait.</t>
  </si>
  <si>
    <t>Quinze minutes imprévues se libèrent dans votre semaine :</t>
  </si>
  <si>
    <t>A. Le retard les mange avant que je les voie. — B. J’avance sur ma liste. — C. Il m’arrive d’en prendre pour réfléchir à où va mon métier.</t>
  </si>
  <si>
    <t>On vous demande : « et concrètement, l’IA change quoi à ton poste ? »</t>
  </si>
  <si>
    <t>A. « Pas grand-chose pour l’instant. » — B. Je cite les outils que j’utilise. — C. Je réponds en tâches : ce qui part, ce qui reste, ce que j’en fais.</t>
  </si>
  <si>
    <t>Votre énergie professionnelle, ces temps-ci, va surtout à :</t>
  </si>
  <si>
    <t>A. Tenir. Absorber. — B. Suivre le rythme. — C. Une ou deux choses que j’ai choisies.</t>
  </si>
  <si>
    <t>Le dépouillement</t>
  </si>
  <si>
    <t>Nombre de A — spectateur</t>
  </si>
  <si>
    <t>Nombre de B — adaptateur</t>
  </si>
  <si>
    <t>Nombre de C — stratège</t>
  </si>
  <si>
    <t>Ma dominante, calculée</t>
  </si>
  <si>
    <t>Ma lettre dominante (celle que j’assume)</t>
  </si>
  <si>
    <t>Un fait précis qui la prouve (un fait, pas une impression)</t>
  </si>
  <si>
    <t>Ex. : j’ai adopté l’outil imposé par le service sans me demander ce qu’il changeait pour moi</t>
  </si>
  <si>
    <t>Un fait, pas une impression : « B : j’ai adopté l’outil imposé par le service sans me demander ce qu’il changeait pour moi. » Voilà une ligne honnête, et elle vaut de l’or.</t>
  </si>
  <si>
    <t>POUR ALLER PLUS LOIN — Le regard extérieur (l’exercice qui pique)   (facultatif, ne compte pas dans votre progression)</t>
  </si>
  <si>
    <t>Faites-vous poser les neuf questions par quelqu’un qui vous voit vivre ou travailler, et demandez-lui de parier sur vos réponses avant que vous ne les donniez. C’est l’écart qui compte.</t>
  </si>
  <si>
    <t>La personne qui a parié</t>
  </si>
  <si>
    <t>Ex. : ma collègue de bureau</t>
  </si>
  <si>
    <t>L’écart entre ses paris et mes réponses, et ce qu’il m’apprend</t>
  </si>
  <si>
    <t>Ex. : elle me voyait C partout, je me suis mis B : je me sous-estime</t>
  </si>
  <si>
    <t>CHAPITRE 6 · Votre position sur la carte   —   15 minutes</t>
  </si>
  <si>
    <t>Croisez votre ligne du chapitre 4 et votre colonne du chapitre 5. Lisez votre case. Puis écrivez votre cap : d’abord vers la droite, puis vers le haut.</t>
  </si>
  <si>
    <t>Les deux pièces se croisent et donnent une direction.</t>
  </si>
  <si>
    <t>La carte — elle s’allume dès que vous avez posé votre ligne et votre colonne</t>
  </si>
  <si>
    <t>Vos tâches ↓ / Votre posture →</t>
  </si>
  <si>
    <t>SPECTATEUR</t>
  </si>
  <si>
    <t>ADAPTATEUR</t>
  </si>
  <si>
    <t>STRATÈGE</t>
  </si>
  <si>
    <t>PLUTÔT IRREMPLAÇABLES</t>
  </si>
  <si>
    <t>PLUTÔT AUGMENTABLES</t>
  </si>
  <si>
    <t>PLUTÔT AUTOMATISABLES</t>
  </si>
  <si>
    <t>Ma ligne — où penchent mes heures réelles (chapitre 4)</t>
  </si>
  <si>
    <t>Ma colonne — ma lettre dominante (chapitre 5)</t>
  </si>
  <si>
    <t>MA CASE, calculée</t>
  </si>
  <si>
    <t>Mon cap, en une ligne (d’abord vers la droite, puis vers le haut)</t>
  </si>
  <si>
    <t>Ex. : passer stratège ce trimestre, sans changer une seule de mes dix lignes</t>
  </si>
  <si>
    <t>Si vous hésitez entre deux cases, prenez la moins flatteuse : on se trompe rarement dans ce sens-là.</t>
  </si>
  <si>
    <t>POUR ALLER PLUS LOIN — La flèche, et la vérification à deux   (facultatif, ne compte pas dans votre progression)</t>
  </si>
  <si>
    <t>La photo devient un film. Ne pas bouger, sur cette carte, ce n’est pas rester immobile : c’est descendre.</t>
  </si>
  <si>
    <t>Où étais-je il y a deux ans ?</t>
  </si>
  <si>
    <t>Ex. : le sursis, sans le savoir</t>
  </si>
  <si>
    <t>Où serai-je dans deux ans si rien ne change, ni mes tâches ni mon regard ?</t>
  </si>
  <si>
    <t>Ex. : l’érosion : la même case, mais la frontière aura bougé sous moi</t>
  </si>
  <si>
    <t>La personne à qui j’ai montré ma grille, et sa réponse</t>
  </si>
  <si>
    <t>Ex. : mon manager : « tu t’es mis trop bas sur l’arbitrage »</t>
  </si>
  <si>
    <t>CHAPITRE 7 · Lire le terrain   —   1 heure</t>
  </si>
  <si>
    <t>Reproduisez la fiche terrain avec votre famille de métier et vos mots. Croisez le verdict avec votre case. Puis écrivez votre cap en toutes lettres : rester et monter, ou changer de terrain.</t>
  </si>
  <si>
    <t>Le cap sort de votre poste, et il est tranché.</t>
  </si>
  <si>
    <t>Ma famille de métier</t>
  </si>
  <si>
    <t>Ex. : le secrétariat et la coordination du soin de proximité</t>
  </si>
  <si>
    <t>① LA DEMANDE — qui en a durablement besoin ? Les cinq forces la poussent ou la rabotent ?</t>
  </si>
  <si>
    <t>Ex. : les patients, les praticiens, les familles. La démographie pousse à fond.</t>
  </si>
  <si>
    <t>② LE CŒUR DE VALEUR — dans la production (exposée) ou dans la confiance, la responsabilité, le contexte (résistants) ?</t>
  </si>
  <si>
    <t>Ex. : ma production s’expose, mais ce qu’on attend de moi c’est de rassurer et de coordonner</t>
  </si>
  <si>
    <t>③ LES FLUX — l’argent, les offres, les formations, les lois entrent ou sortent ?</t>
  </si>
  <si>
    <t>Ex. : ça entre : recrutements en tension, budgets qui suivent, obligations nouvelles</t>
  </si>
  <si>
    <t>VERDICT TERRAIN</t>
  </si>
  <si>
    <t>MA CASE (report du chapitre 6)</t>
  </si>
  <si>
    <t>MA CELLULE = MON CAP, calculé</t>
  </si>
  <si>
    <t>Mon cap, dans mes mots (écrits, ils travaillent)</t>
  </si>
  <si>
    <t>Ex. : mon métier ne va nulle part, mes tâches si. Je bouge vite, sur place.</t>
  </si>
  <si>
    <t>Ex. : « Porteur, sans discussion. Mon métier ne va nulle part ; mes tâches, si. »</t>
  </si>
  <si>
    <t>POUR ALLER PLUS LOIN — Le rendez-vous annuel   (facultatif, ne compte pas dans votre progression)</t>
  </si>
  <si>
    <t>Une décision de cap n’est pas un tatouage : c’est un réglage. Une fois par an, repassez vos trois questions par écrit.</t>
  </si>
  <si>
    <t>Trois points du dernier rapport de référence sur l’avenir des métiers qui touchent ma famille</t>
  </si>
  <si>
    <t>Ex. : secrétariat administratif en tête des déclins, soin en forte hausse, saisie en chute</t>
  </si>
  <si>
    <t>Mon prochain quart d’heure terrain (dans un an, daté dès maintenant)</t>
  </si>
  <si>
    <t>Ex. : le 15 mars prochain</t>
  </si>
  <si>
    <t>Spectateur (A)</t>
  </si>
  <si>
    <t>Adaptateur (B)</t>
  </si>
  <si>
    <t>Stratège (C)</t>
  </si>
  <si>
    <t>Plutôt irremplaçables</t>
  </si>
  <si>
    <t>Le confort trompeur — protégé aujourd’hui, aveugle demain</t>
  </si>
  <si>
    <t>Le socle — solide, sans cap</t>
  </si>
  <si>
    <t>La zone irremplaçable — la destination</t>
  </si>
  <si>
    <t>Plutôt augmentables</t>
  </si>
  <si>
    <t>L’érosion — dépassé en silence</t>
  </si>
  <si>
    <t>Le courant — porté, sans gouvernail</t>
  </si>
  <si>
    <t>La rampe — l’outil devient levier</t>
  </si>
  <si>
    <t>Plutôt automatisables</t>
  </si>
  <si>
    <t>Le sursis — la facture arrive d’un coup</t>
  </si>
  <si>
    <t>Le tapis roulant — courir sur place</t>
  </si>
  <si>
    <t>Le rebond — exposé, mais en mouvement</t>
  </si>
  <si>
    <t>❸   Se déplacer</t>
  </si>
  <si>
    <t>Chapitres 8 à 11 · un geste par chapitre · les cases blanches sont à vous, elles passent au vert dès que vous écrivez dedans</t>
  </si>
  <si>
    <t>CHAPITRE 8 · Déléguer, et garder la main   —   15 minutes</t>
  </si>
  <si>
    <t>Triez une tâche par trois questions. Déléguez-la en sandwich : votre intention, l’exécution de la machine, votre dernier regard. Et complétez la phrase avant de déléguer, pas après.</t>
  </si>
  <si>
    <t>Le cap se paie en heures réelles, et ces heures ont une destination décidée d’avance.</t>
  </si>
  <si>
    <t>La tâche candidate (une seule, la plus mûre)</t>
  </si>
  <si>
    <t>Ex. : la frappe des comptes rendus de consultation</t>
  </si>
  <si>
    <t>① Je l’ai déjà maîtrisée ?</t>
  </si>
  <si>
    <t>② Je saurais juger le résultat les yeux fermés ?</t>
  </si>
  <si>
    <t>③ Sa disparition me libère, et ne m’appauvrit pas ?</t>
  </si>
  <si>
    <t>Verdict du tri</t>
  </si>
  <si>
    <t>Le sandwich — mon intention : le contexte (pour qui, pour quoi, ce qui s’est déjà dit)</t>
  </si>
  <si>
    <t>Ex. : pour le praticien, format du cabinet, suite de la consultation du 12</t>
  </si>
  <si>
    <t>Le sandwich — les contraintes (ce qui doit y être, ce qui ne doit surtout pas y être)</t>
  </si>
  <si>
    <t>Ex. : jamais reformuler les termes médicaux ni les posologies</t>
  </si>
  <si>
    <t>Le sandwich — l’étalon (à quoi ressemble un bon résultat)</t>
  </si>
  <si>
    <t>Ex. : celui du 3 mars, que j’ai relu et validé</t>
  </si>
  <si>
    <t>« Le temps que cette délégation me rend ira à : … » (à compléter AVANT de déléguer)</t>
  </si>
  <si>
    <t>Ex. : aux appels des patients inquiets, le matin</t>
  </si>
  <si>
    <t>Si vous ne savez pas terminer cette phrase, ne déléguez pas encore. Et si vous ne savez pas quoi réinvestir : commencez quand même, petit.</t>
  </si>
  <si>
    <t>POUR ALLER PLUS LOIN — Le constat, et le vol à la main   (facultatif, ne compte pas dans votre progression)</t>
  </si>
  <si>
    <t>Comme les pilotes de ligne : une fois par mois, refaites entièrement à la main une tâche déléguée. Pas par nostalgie, pour entretenir le muscle qui juge.</t>
  </si>
  <si>
    <t>Le constat : les heures sont-elles allées où je l’avais décidé ?</t>
  </si>
  <si>
    <t>Ex. : non, les mails les ont mangées. Je bloque le créneau la semaine prochaine.</t>
  </si>
  <si>
    <t>La tâche déléguée que je refais à la main, et mon rendez-vous mensuel</t>
  </si>
  <si>
    <t>Ex. : le compte rendu, le premier lundi du mois</t>
  </si>
  <si>
    <t>CHAPITRE 9 · Remonter la chaîne de valeur   —   10 minutes</t>
  </si>
  <si>
    <t>Sur la tâche que vous venez de déléguer, quatre questions. Chaque réponse qui n’est pas vous désigne un cran au-dessus. Le cran qui revient est votre direction naturelle.</t>
  </si>
  <si>
    <t>Vos heures ont une adresse. Vous montez sur un cran nommé, pas en général.</t>
  </si>
  <si>
    <t>La tâche (déléguée au chapitre 8)</t>
  </si>
  <si>
    <t>Ex. : rédiger le compte rendu de réunion</t>
  </si>
  <si>
    <t>Qui décide qu’elle doit être faite, et comment ? (cadrage)</t>
  </si>
  <si>
    <t>Ex. : mon manager, mais on m’appelle déjà la veille pour savoir quoi préparer</t>
  </si>
  <si>
    <t>Qui tranche quand le résultat se discute ? (arbitrage)</t>
  </si>
  <si>
    <t>Ex. : personne, officiellement</t>
  </si>
  <si>
    <t>Qui en répond quand ça compte ? (responsabilité)</t>
  </si>
  <si>
    <t>Ex. : mon manager</t>
  </si>
  <si>
    <t>Qui parle aux personnes concernées, avant et après ? (relation)</t>
  </si>
  <si>
    <t>Ex. : personne ne revendique cet appel</t>
  </si>
  <si>
    <t>Le cran qui revient (ma direction naturelle)</t>
  </si>
  <si>
    <t>Ex. : « Mon manager — mais on m’appelle déjà la veille pour savoir ce qu’il faut préparer. » Votre pied est déjà posé à moitié.</t>
  </si>
  <si>
    <t>POUR ALLER PLUS LOIN — Les quinze questions de la montée, et ma micro-migration   (facultatif, ne compte pas dans votre progression)</t>
  </si>
  <si>
    <t>Une seule question à la fois suffit : celle dont la réponse vous manque cette semaine. Repérer les vides (5 à 9), tester le porte-à-faux (10 à 12), regarder dehors (13 à 15).</t>
  </si>
  <si>
    <t>Le vide que j’ai repéré (ce que tout le monde contourne, ce qui se décide en retard, où l’information meurt)</t>
  </si>
  <si>
    <t>Ex. : personne ne prépare l’ordre du jour, donc rien ne se tranche</t>
  </si>
  <si>
    <t>Le test du porte-à-faux : puis-je le présenter comme un service rendu, et non comme une correction ?</t>
  </si>
  <si>
    <t>Ma micro-migration : un geste, récurrent, visible, utile à quelqu’un de précis</t>
  </si>
  <si>
    <t>Ex. : chaque lundi, la liste des cas à rappeler avec une proposition de priorité</t>
  </si>
  <si>
    <t>CHAPITRE 10 · Changer de trajectoire   —   30 minutes</t>
  </si>
  <si>
    <t>⚠  À faire seulement si votre cap du chapitre 7 dit « changer de terrain ». Sinon, passez au chapitre 11 : cet exercice ne compte pas dans votre progression.</t>
  </si>
  <si>
    <t>Listez votre socle transférable : les tâches irremplaçables de votre tableau du chapitre 4, plus les trois choses que vos collègues viennent chercher chez vous.</t>
  </si>
  <si>
    <t>Ce qui vous suit partout est listé, et le pont se construit pendant qu’on vous paie encore.</t>
  </si>
  <si>
    <t>Mes tâches irremplaçables (report du chapitre 4)</t>
  </si>
  <si>
    <t>Ex. : arbitrer, annoncer une mauvaise nouvelle, recadrer</t>
  </si>
  <si>
    <t>Les trois choses que mes collègues viennent chercher chez moi</t>
  </si>
  <si>
    <t>Ex. : trancher vite, calmer un client, savoir où c’est écrit</t>
  </si>
  <si>
    <t>Ce qui traverse avec moi, quoi qu’il arrive</t>
  </si>
  <si>
    <t>Ex. : douze ans d’arbitrage entre la règle et l’humain</t>
  </si>
  <si>
    <t>Vous ne repartirez jamais de zéro : vos tâches restent au vestiaire, votre socle traverse avec vous.</t>
  </si>
  <si>
    <t>POUR ALLER PLUS LOIN — La feuille de route de la traversée   (facultatif, ne compte pas dans votre progression)</t>
  </si>
  <si>
    <t>Six étapes, dans l’ordre. Une seule traversée à la fois, jamais sans revenus.</t>
  </si>
  <si>
    <t>Ma traversée (une seule, en conscience de son coût)</t>
  </si>
  <si>
    <t>Les trois calques : mon socle × les courants porteurs × l’envie qui dure</t>
  </si>
  <si>
    <t>Ex. : arbitrage règle/humain × le soin qui recrute × l’envie d’être utile à des gens</t>
  </si>
  <si>
    <t>Le test d’adjacence : dix offres lues, trois conversations, une immersion</t>
  </si>
  <si>
    <t>Ex. : dix offres surlignées, deux RH rencontrés, une journée d’observation le 12</t>
  </si>
  <si>
    <t>Ma preuve minimale (ma plus petite réalisation qui compte pour ceux d’en face)</t>
  </si>
  <si>
    <t>Ex. : un guide des vingt situations de paie qui font pleurer les managers</t>
  </si>
  <si>
    <t>Mon premier pied, daté à quatre-vingt-dix jours</t>
  </si>
  <si>
    <t>Ex. : une mission transverse obtenue avant le 30 juin</t>
  </si>
  <si>
    <t>Mon récit de transfert, en une ligne</t>
  </si>
  <si>
    <t>Ex. : j’apporte douze ans d’arbitrage entre la règle et l’humain aux équipes qui n’ont personne pour le faire</t>
  </si>
  <si>
    <t>CHAPITRE 11 · Piloter l’IA   —   15 minutes</t>
  </si>
  <si>
    <t>Testez les trois entraînements en amont. La sortie part à la poubelle, la préparation reste. Puis notez ce que l’outil réussit et ce qu’il rate sur votre périmètre.</t>
  </si>
  <si>
    <t>Vous cessez d’être passager, et vous détenez un dossier que personne d’autre ne peut montrer.</t>
  </si>
  <si>
    <t>À copier telles quelles — les trois consignes du brief</t>
  </si>
  <si>
    <t>« Avant de répondre, pose-moi les dix questions dont tu as besoin pour faire un excellent travail. »</t>
  </si>
  <si>
    <t>« Réponds comme le ferait un des meilleurs au monde dans cette fonction, un mentor exigeant, le top 1 % du métier. »</t>
  </si>
  <si>
    <t>« Quelle est la meilleure façon de travailler avec toi sur ce type de tâche ? »</t>
  </si>
  <si>
    <t>Le sparring — ma conversation difficile, répétée</t>
  </si>
  <si>
    <t>Ex. : annoncer un report de délai au client</t>
  </si>
  <si>
    <t>Le pré-mortem — ma décision, et les trois raisons d’échec sorties</t>
  </si>
  <si>
    <t>Ex. : un client qui pèse trop lourd, une trésorerie trop juste, l’isolement</t>
  </si>
  <si>
    <t>L’avocat du diable — ma note attaquée, et les angles morts découverts</t>
  </si>
  <si>
    <t>Ex. : ma note de cadrage du projet X</t>
  </si>
  <si>
    <t>Ce que l’outil réussit sur mon périmètre (cas datés)</t>
  </si>
  <si>
    <t>Ex. : le 12/03, résumé de 40 pages, exact</t>
  </si>
  <si>
    <t>Ce qu’il rate sur mon périmètre (cas datés)</t>
  </si>
  <si>
    <t>Ex. : le 14/03, a inventé une clause qui n’existe pas</t>
  </si>
  <si>
    <t>Le jour où votre organisation devra désigner quelqu’un pour incarner le contrôle humain, elle pensera à la personne qui avait posé les limites la première.</t>
  </si>
  <si>
    <t>POUR ALLER PLUS LOIN — Mes limites écrites, et les règles d’équipage   (facultatif, ne compte pas dans votre progression)</t>
  </si>
  <si>
    <t>Rien ne part sous votre nom que vous ne puissiez défendre à l’oral. La machine n’assumera rien à votre place.</t>
  </si>
  <si>
    <t>Ce que la machine ne fait jamais sans mon accord</t>
  </si>
  <si>
    <t>Ex. : engager une dépense, écrire à un client, supprimer un fichier</t>
  </si>
  <si>
    <t>La consigne la plus rentable, adoptée ? — « quand tu n’es pas sûr, dis-le et arrête-toi »</t>
  </si>
  <si>
    <t>Les trois règles d’équipe proposées ?</t>
  </si>
  <si>
    <t>❹   Prendre l’avance</t>
  </si>
  <si>
    <t>Chapitres 12 à 15 · un geste par chapitre · les cases blanches sont à vous, elles passent au vert dès que vous écrivez dedans</t>
  </si>
  <si>
    <t>CHAPITRE 12 · Épaissir ce qui ne s’automatise pas   —   15 minutes</t>
  </si>
  <si>
    <t>Ouvrez le journal : quatre lignes datées avant votre prochaine décision qui compte. Puis datez la relecture, trois mois plus tard.</t>
  </si>
  <si>
    <t>Trois actifs lents que rien ne génère et que personne ne copie.</t>
  </si>
  <si>
    <t>Date</t>
  </si>
  <si>
    <t>Ex. : 12/03</t>
  </si>
  <si>
    <t>Ce que je décide</t>
  </si>
  <si>
    <t>Ex. : prolonger le prestataire de six mois</t>
  </si>
  <si>
    <t>Pourquoi (les deux ou trois vraies raisons)</t>
  </si>
  <si>
    <t>Ex. : le délai de remplacement dépasse le gain</t>
  </si>
  <si>
    <t>Ce que j’attends qu’il se passe</t>
  </si>
  <si>
    <t>Ex. : zéro rupture de service au T3</t>
  </si>
  <si>
    <t>Ce qui me ferait changer d’avis</t>
  </si>
  <si>
    <t>Ex. : deux incidents non résolus en un mois</t>
  </si>
  <si>
    <t>Ma relecture, datée à trois mois</t>
  </si>
  <si>
    <t>Ex. : 12/06</t>
  </si>
  <si>
    <t>Votre mémoire réécrit l’histoire, votre journal non. Deux relectures plus tard, vous découvrez un biais récurrent que personne d’autre ne connaît.</t>
  </si>
  <si>
    <t>POUR ALLER PLUS LOIN — La confiance, et la signature   (facultatif, ne compte pas dans votre progression)</t>
  </si>
  <si>
    <t>Le test du dimanche : combien de personnes décrocheraient si vous appeliez un dimanche ? Trois gestes, aucun ne demande de charisme : répondre, recommander, créditer.</t>
  </si>
  <si>
    <t>Deux recontacts gratuits (un café, des nouvelles, aucune demande)</t>
  </si>
  <si>
    <t>Ex. : Sophie (ancienne collègue) le 12, Marc (ex-client) le 19</t>
  </si>
  <si>
    <t>Mon angle (une manière à moi, choisie, pas subie)</t>
  </si>
  <si>
    <t>Ex. : clarifier ce qui attend une décision</t>
  </si>
  <si>
    <t>Mon rendez-vous (le plus petit que je suis certain de tenir)</t>
  </si>
  <si>
    <t>Ex. : une page le vendredi : ce qui s’est passé, ce qui coince, ce qui attend un arbitrage</t>
  </si>
  <si>
    <t>Ma preuve visible, et la date du premier envoi</t>
  </si>
  <si>
    <t>Ex. : la page du vendredi, premier envoi le 4 avril</t>
  </si>
  <si>
    <t>CHAPITRE 13 · Tenir sa place sans se perdre   —   10 minutes</t>
  </si>
  <si>
    <t>Écrivez votre phrase d’ancrage. Une ligne, la vôtre, quelque part où vous la retrouverez. On ne la relit pas souvent : on la relit les jours où ça secoue.</t>
  </si>
  <si>
    <t>Vous protégez l’énergie qui alimente les douze pièces précédentes.</t>
  </si>
  <si>
    <t>« Je viens ici pour… »</t>
  </si>
  <si>
    <t>Ex. : construire une expertise qui me rendra libre</t>
  </si>
  <si>
    <t>« Je ne sacrifierai pas… »</t>
  </si>
  <si>
    <t>Ex. : mes soirées avec mes enfants</t>
  </si>
  <si>
    <t>Ex. : « Je viens ici pour construire une expertise qui me rendra libre. Je ne sacrifierai pas ma santé. »</t>
  </si>
  <si>
    <t>POUR ALLER PLUS LOIN — La boussole intérieure   (facultatif, ne compte pas dans votre progression)</t>
  </si>
  <si>
    <t>Vrai partout, entier avec peu. L’empathie est un budget : écouter n’est pas porter.</t>
  </si>
  <si>
    <t>Mon un-à-un de cette semaine (la personne, le moment)</t>
  </si>
  <si>
    <t>Ex. : Karim, jeudi, trente minutes de marche</t>
  </si>
  <si>
    <t>La tranche remboursable testée, et ce qu’elle est devenue</t>
  </si>
  <si>
    <t>Ex. : je lui ai dit que ce projet m’inquiétait ; ça n’est pas ressorti ailleurs</t>
  </si>
  <si>
    <t>Mes heures de fermeture (les créneaux où je n’absorbe rien)</t>
  </si>
  <si>
    <t>Ex. : après 19 h et le mercredi matin</t>
  </si>
  <si>
    <t>Ma plainte récurrente, convertie en demande</t>
  </si>
  <si>
    <t>Ex. : « on me prévient toujours trop tard » devient « peux-tu me passer l’info le lundi ? »</t>
  </si>
  <si>
    <t>CHAPITRE 14 · Apprendre à se réapprendre   —   15 minutes</t>
  </si>
  <si>
    <t>Un écart repéré au quart d’heure. Des séances en mode examinateur, difficulté croissante. Et pour chaque écart comblé, une pratique mise en sommeil trois mois, datée.</t>
  </si>
  <si>
    <t>Vous ne présentez plus un stock mais une vitesse de renouvellement.</t>
  </si>
  <si>
    <t>À copier telle quelle — la consigne du mode examinateur</t>
  </si>
  <si>
    <t>« Voilà ce que je crois avoir compris. Fais-moi réciter. Monte la difficulté à chaque bonne réponse. Quand je me trompe, ne me donne pas la réponse : repose la question autrement. »</t>
  </si>
  <si>
    <t>L’écart repéré (où ma carte a bougé)</t>
  </si>
  <si>
    <t>Ex. : un client m’a demandé où passent les données, je n’ai pas su répondre</t>
  </si>
  <si>
    <t>Le geste : le sujet, et le nombre de séances</t>
  </si>
  <si>
    <t>Ex. : trois séances de quinze minutes sur la protection des données</t>
  </si>
  <si>
    <t>Ce que je cesse (mise en sommeil datée)</t>
  </si>
  <si>
    <t>Ex. : la veille du soir sur trente notifications</t>
  </si>
  <si>
    <t>Date de mise en sommeil</t>
  </si>
  <si>
    <t>Ex. : 04/04</t>
  </si>
  <si>
    <t>Date de relecture (trois mois)</t>
  </si>
  <si>
    <t>Ex. : 04/07</t>
  </si>
  <si>
    <t>Relire donne le sentiment de savoir ; se faire interroger donne le savoir. Répondez sans relire vos notes : c’est la règle qui fait tout.</t>
  </si>
  <si>
    <t>POUR ALLER PLUS LOIN — L’inventaire des dettes, la vitrine, le financement   (facultatif, ne compte pas dans votre progression)</t>
  </si>
  <si>
    <t>Trois questions font l’inventaire, une fois par trimestre, au calme. La véhémence est un indice : on ne se bat pas pour une méthode, on se bat pour l’identité qu’elle porte.</t>
  </si>
  <si>
    <t>Qu’est-ce que je défends avec le plus d’énergie quand on propose de le changer ?</t>
  </si>
  <si>
    <t>Ex. : mon tableau de suivi, que je tiens depuis huit ans</t>
  </si>
  <si>
    <t>Qu’est-ce que je fais encore entièrement à la main, par fierté ?</t>
  </si>
  <si>
    <t>Ex. : la mise en forme de mes comptes rendus</t>
  </si>
  <si>
    <t>Qu’est-ce que je n’ai pas remis en question depuis trois ans ?</t>
  </si>
  <si>
    <t>Ex. : ma façon de préparer les réunions</t>
  </si>
  <si>
    <t>Ma vitrine (un ou deux tampons choisis) et mon arrière-boutique (le savoir frais)</t>
  </si>
  <si>
    <t>Ex. : vitrine, ma certification de 2019 ; arrière-boutique, ce que j’apprends chaque trimestre</t>
  </si>
  <si>
    <t>La porte de financement visée</t>
  </si>
  <si>
    <t>CHAPITRE 15 · Prendre l’avance, et la creuser   —   15 minutes</t>
  </si>
  <si>
    <t>Choisissez un seul poste d’observation, là où votre décennie se joue en avant-première. Bloquez une heure par mois au calendrier. Une demi-page de trace à chaque fois.</t>
  </si>
  <si>
    <t>Vous ne découvrez plus les annonces, vous les reconnaissez.</t>
  </si>
  <si>
    <t>Mon poste d’observation (un seul)</t>
  </si>
  <si>
    <t>Ex. : un cabinet du même secteur en Corée du Sud</t>
  </si>
  <si>
    <t>Mon heure mensuelle, datée au calendrier</t>
  </si>
  <si>
    <t>Ex. : le premier vendredi, 17 h</t>
  </si>
  <si>
    <t>Qu’est-ce qui s’y est automatisé en premier ?</t>
  </si>
  <si>
    <t>Ex. : la prise de rendez-vous, entièrement</t>
  </si>
  <si>
    <t>Où les humains s’y sont-ils replacés ?</t>
  </si>
  <si>
    <t>Ex. : sur les parcours compliqués et les familles</t>
  </si>
  <si>
    <t>La conséquence pour ma carte</t>
  </si>
  <si>
    <t>Ex. : ma ligne descend, ma colonne doit monter</t>
  </si>
  <si>
    <t>Le mauvais lecteur rapporte des solutions. Le bon lecteur rapporte des mécaniques : les solutions ne se transposent pas, les mécaniques si.</t>
  </si>
  <si>
    <t>POUR ALLER PLUS LOIN — Le mémo, les cinq questions, les cinq signes   (facultatif, ne compte pas dans votre progression)</t>
  </si>
  <si>
    <t>Un mémo d’une page à qui décide vaut un an de présence en réunion. Envoyé avant que le plan ne soit figé, jamais après.</t>
  </si>
  <si>
    <t>¶1 — Ce que l’outil fait déjà chez nous, et ce que j’ai observé</t>
  </si>
  <si>
    <t>Ex. : trois équipes l’utilisent pour les comptes rendus, sans consigne commune</t>
  </si>
  <si>
    <t>¶2 — Ce qu’on pourrait lui confier, avec quel gain estimé</t>
  </si>
  <si>
    <t>Ex. : la première relecture des dossiers, environ six heures par semaine</t>
  </si>
  <si>
    <t>¶3 — Ce qu’il faut lui interdire, et pourquoi</t>
  </si>
  <si>
    <t>Ex. : tout ce qui part au client sans relecture humaine, parce qu’on en répond</t>
  </si>
  <si>
    <t>¶4 — Ce que je propose de tester le mois prochain, et comment on saura si ça marche</t>
  </si>
  <si>
    <t>Ex. : un essai sur dix dossiers, mesuré au nombre de corrections nécessaires</t>
  </si>
  <si>
    <t>Le destinataire (la personne qui décide réellement), et la date d’envoi</t>
  </si>
  <si>
    <t>Ex. : la directrice des opérations, envoyé le 8 avril</t>
  </si>
  <si>
    <t>Les cinq questions, notées sur mon billet pour le prochain lundi ?</t>
  </si>
  <si>
    <t>Mes 90 jours</t>
  </si>
  <si>
    <t>Six quinzaines, six verbes. Chacune s’appuie sur la précédente, aucune ne se saute. Le rituel, lui, ne se fait pas : il se tient.</t>
  </si>
  <si>
    <t>LES SIX QUINZAINES</t>
  </si>
  <si>
    <t>Quinzaine</t>
  </si>
  <si>
    <t>Le geste</t>
  </si>
  <si>
    <t>Le gain</t>
  </si>
  <si>
    <t>Chapitres</t>
  </si>
  <si>
    <t>Statut</t>
  </si>
  <si>
    <t>Jours 1-15
VOIR
On ne protège pas ce qu’on ne voit pas.</t>
  </si>
  <si>
    <t>L’inventaire de vos tâches en quatre colonnes et votre posture face à chacune. Le test des neuf situations. Votre carte, votre zone, votre cap : d’abord vers la droite, puis vers le haut.</t>
  </si>
  <si>
    <t>Votre poste vu tel qu’il est, plus tel qu’on vous le raconte : l’angoisse diffuse devient une liste finie.</t>
  </si>
  <si>
    <t>1 à 6</t>
  </si>
  <si>
    <t>Jours 16-30
TENIR
Quinze minutes qui gouvernent le reste.</t>
  </si>
  <si>
    <t>Verrouillez le quart d’heure du stratège : même jour, même heure, non négociable. Une question de carte par séance.</t>
  </si>
  <si>
    <t>Un rendez-vous hebdomadaire avec votre trajectoire que plus rien n’annule, à la place de la veille anxieuse du soir.</t>
  </si>
  <si>
    <t>6</t>
  </si>
  <si>
    <t>Jours 31-45
PILOTER
Jamais en passager.</t>
  </si>
  <si>
    <t>Première délégation en sandwich, puis étalonnée en pilote : mission d’essai, limites écrites, critère de preuve.</t>
  </si>
  <si>
    <t>Des heures récupérées chaque mois, et le seul dossier, dans votre équipe ou sur votre marché, sur ce que la machine vaut vraiment.</t>
  </si>
  <si>
    <t>8 et 11</t>
  </si>
  <si>
    <t>Jours 46-60
MONTER
Un écart comblé, un cran gagné.</t>
  </si>
  <si>
    <t>Premier écart comblé en mode examinateur : trois séances de quinze minutes, difficulté croissante. Puis une question de la montée.</t>
  </si>
  <si>
    <t>Une compétence fraîche et démontrable là où votre carte a bougé, et votre prochain cran identifié.</t>
  </si>
  <si>
    <t>14 et 9</t>
  </si>
  <si>
    <t>Jours 61-75
PROUVER
Éteindre pour durer, dater pour montrer.</t>
  </si>
  <si>
    <t>Première extinction datée : une pratique héritée mise en sommeil trois mois. Journal de décisions ouvert. Heures de fermeture posées.</t>
  </si>
  <si>
    <t>Du temps rendu à ce qui prend de la valeur, une réputation qui s’écrit chaque semaine.</t>
  </si>
  <si>
    <t>14, 12 et 13</t>
  </si>
  <si>
    <t>Jours 76-90
RAYONNER
Votre preuve voyage sans vous.</t>
  </si>
  <si>
    <t>Le mémo, une page, une seule, envoyée à qui décide, au bon moment. Poste d’observation choisi, premier rendez-vous mensuel au calendrier.</t>
  </si>
  <si>
    <t>Votre nom circule là où se décident les postes, les missions et les budgets.</t>
  </si>
  <si>
    <t>15 et 12</t>
  </si>
  <si>
    <t>LE QUART D’HEURE DU STRATÈGE — douze semaines</t>
  </si>
  <si>
    <t>Quinze minutes, un rendez-vous fixe. Écrivez une seule case et la semaine compte : « rien de neuf » est une excellente réponse.</t>
  </si>
  <si>
    <t>Semaine</t>
  </si>
  <si>
    <t>Qu’est-ce qui a bougé ?</t>
  </si>
  <si>
    <t>Mes lettres, sur pièces (un fait, pas une impression)</t>
  </si>
  <si>
    <t>Ma micro-décision (une seule)</t>
  </si>
  <si>
    <t>Semaine 1</t>
  </si>
  <si>
    <t>Semaine 2</t>
  </si>
  <si>
    <t>Semaine 3</t>
  </si>
  <si>
    <t>Semaine 4</t>
  </si>
  <si>
    <t>Semaine 5</t>
  </si>
  <si>
    <t>Semaine 6</t>
  </si>
  <si>
    <t>Semaine 7</t>
  </si>
  <si>
    <t>Semaine 8</t>
  </si>
  <si>
    <t>Semaine 9</t>
  </si>
  <si>
    <t>Semaine 10</t>
  </si>
  <si>
    <t>Semaine 11</t>
  </si>
  <si>
    <t>Semaine 12</t>
  </si>
  <si>
    <t>LE JOURNAL DE DÉCISIONS</t>
  </si>
  <si>
    <t>Quatre lignes datées avant chaque décision qui compte. Votre mémoire réécrit l’histoire, votre journal non.</t>
  </si>
  <si>
    <t>Pourquoi, et ce que j’attends</t>
  </si>
  <si>
    <t>Relu le</t>
  </si>
  <si>
    <t>Vous avez bouclé un tour. Le plan ne se termine pas, il repart : un écart chasse l’autre, et le prochain lundi vous trouve prêt.</t>
  </si>
  <si>
    <t>Chaque geste de ce classeur renvoie à son chapitre. IRREMPLAÇABLE — Le plan pour réussir sa carrière à l’ère de l’IA · inovapolis.fr/le-livre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</si>
</sst>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0&quot; %&quot;"/>
  </numFmts>
  <fonts count="32" x14ac:knownFonts="1">
    <font>
      <sz val="11"/>
      <color theme="1"/>
      <name val="Calibri"/>
      <family val="2"/>
      <scheme val="minor"/>
    </font>
    <font>
      <b/>
      <sz val="18"/>
      <color rgb="FF1A56DB"/>
      <name val="Georgia"/>
    </font>
    <font>
      <sz val="9"/>
      <color rgb="FF8A8A85"/>
      <name val="Arial"/>
    </font>
    <font>
      <b/>
      <sz val="10"/>
      <color rgb="FF111111"/>
      <name val="Arial"/>
    </font>
    <font>
      <b/>
      <sz val="12"/>
      <color rgb="FF1A56DB"/>
      <name val="Georgia"/>
    </font>
    <font>
      <b/>
      <sz val="9"/>
      <name val="Arial"/>
    </font>
    <font>
      <b/>
      <sz val="8"/>
      <color rgb="FF8A8A85"/>
      <name val="Arial"/>
    </font>
    <font>
      <sz val="10"/>
      <color rgb="FF111111"/>
      <name val="Arial"/>
    </font>
    <font>
      <b/>
      <sz val="8"/>
      <color rgb="FF1A56DB"/>
      <name val="Arial"/>
    </font>
    <font>
      <sz val="10"/>
      <name val="Arial"/>
    </font>
    <font>
      <i/>
      <sz val="9"/>
      <color rgb="FF8A8A85"/>
      <name val="Arial"/>
    </font>
    <font>
      <b/>
      <sz val="9"/>
      <color rgb="FF8A8A85"/>
      <name val="Arial"/>
    </font>
    <font>
      <b/>
      <sz val="10"/>
      <color rgb="FF27AE60"/>
      <name val="Arial"/>
    </font>
    <font>
      <b/>
      <sz val="9"/>
      <color rgb="FF1A56DB"/>
      <name val="Arial"/>
    </font>
    <font>
      <b/>
      <sz val="12"/>
      <color rgb="FF1A56DB"/>
      <name val="Arial"/>
    </font>
    <font>
      <b/>
      <sz val="9"/>
      <color rgb="FF111111"/>
      <name val="Arial"/>
    </font>
    <font>
      <b/>
      <sz val="13"/>
      <color rgb="FF1A56DB"/>
      <name val="Arial"/>
    </font>
    <font>
      <i/>
      <sz val="9"/>
      <color rgb="FF1A56DB"/>
      <name val="Arial"/>
    </font>
    <font>
      <b/>
      <sz val="9"/>
      <color rgb="FF27AE60"/>
      <name val="Arial"/>
    </font>
    <font>
      <b/>
      <sz val="11"/>
      <color rgb="FF1A56DB"/>
      <name val="Arial"/>
    </font>
    <font>
      <sz val="10"/>
      <color rgb="FF8A8A85"/>
      <name val="Arial"/>
    </font>
    <font>
      <b/>
      <sz val="22"/>
      <color rgb="FF1A56DB"/>
      <name val="Georgia"/>
    </font>
    <font>
      <b/>
      <sz val="12"/>
      <color rgb="FF111111"/>
      <name val="Arial"/>
    </font>
    <font>
      <sz val="9"/>
      <color rgb="FF111111"/>
      <name val="Arial"/>
    </font>
    <font>
      <b/>
      <sz val="11"/>
      <name val="Arial"/>
    </font>
    <font>
      <b/>
      <sz val="12"/>
      <color rgb="FF111111"/>
      <name val="Georgia"/>
    </font>
    <font>
      <b/>
      <sz val="40"/>
      <color rgb="FF111111"/>
      <name val="Georgia"/>
    </font>
    <font>
      <sz val="15"/>
      <color rgb="FF1A56DB"/>
      <name val="Georgia"/>
    </font>
    <font>
      <b/>
      <sz val="10"/>
      <color rgb="FF1A56DB"/>
      <name val="Arial"/>
    </font>
    <font>
      <b/>
      <sz val="11"/>
      <color rgb="FF111111"/>
      <name val="Arial"/>
    </font>
    <font>
      <sz val="11"/>
      <color rgb="FF111111"/>
      <name val="Arial"/>
    </font>
    <font>
      <b/>
      <u/>
      <sz val="11"/>
      <color rgb="FF1A56DB"/>
      <name val="Arial"/>
    </font>
  </fonts>
  <fills count="7">
    <fill>
      <patternFill patternType="none"/>
    </fill>
    <fill>
      <patternFill patternType="gray125"/>
    </fill>
    <fill>
      <patternFill patternType="solid">
        <fgColor rgb="FFECEFF6"/>
      </patternFill>
    </fill>
    <fill>
      <patternFill patternType="solid">
        <fgColor rgb="FFFFFFFF"/>
      </patternFill>
    </fill>
    <fill>
      <patternFill patternType="solid">
        <fgColor rgb="FFF2F2EF"/>
      </patternFill>
    </fill>
    <fill>
      <patternFill patternType="solid">
        <fgColor rgb="FFF2F2EF"/>
        <bgColor rgb="FFF2F2EF"/>
      </patternFill>
    </fill>
    <fill>
      <patternFill patternType="solid">
        <fgColor rgb="FFFAFAF8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1A56DB"/>
      </bottom>
      <diagonal/>
    </border>
    <border>
      <left style="medium">
        <color rgb="FF1A56DB"/>
      </left>
      <right style="thin">
        <color rgb="FFE5E5E0"/>
      </right>
      <top style="thin">
        <color rgb="FFE5E5E0"/>
      </top>
      <bottom style="thin">
        <color rgb="FFE5E5E0"/>
      </bottom>
      <diagonal/>
    </border>
    <border>
      <left style="thin">
        <color rgb="FFE5E5E0"/>
      </left>
      <right style="thin">
        <color rgb="FFE5E5E0"/>
      </right>
      <top style="thin">
        <color rgb="FFE5E5E0"/>
      </top>
      <bottom style="thin">
        <color rgb="FFE5E5E0"/>
      </bottom>
      <diagonal/>
    </border>
    <border>
      <left/>
      <right/>
      <top/>
      <bottom style="thin">
        <color rgb="FFE5E5E0"/>
      </bottom>
      <diagonal/>
    </border>
    <border>
      <left style="thin">
        <color rgb="FF27AE60"/>
      </left>
      <right style="thin">
        <color rgb="FF27AE60"/>
      </right>
      <top style="thin">
        <color rgb="FF27AE60"/>
      </top>
      <bottom style="thin">
        <color rgb="FF27AE60"/>
      </bottom>
      <diagonal/>
    </border>
    <border>
      <left/>
      <right/>
      <top/>
      <bottom style="medium">
        <color rgb="FF1A56DB"/>
      </bottom>
      <diagonal/>
    </border>
    <border>
      <left/>
      <right/>
      <top style="thin">
        <color rgb="FFE5E5E0"/>
      </top>
      <bottom style="thin">
        <color rgb="FFE5E5E0"/>
      </bottom>
      <diagonal/>
    </border>
    <border>
      <left/>
      <right style="thin">
        <color rgb="FFE5E5E0"/>
      </right>
      <top style="thin">
        <color rgb="FFE5E5E0"/>
      </top>
      <bottom style="thin">
        <color rgb="FFE5E5E0"/>
      </bottom>
      <diagonal/>
    </border>
    <border>
      <left/>
      <right/>
      <top style="thin">
        <color rgb="FF27AE60"/>
      </top>
      <bottom style="thin">
        <color rgb="FF27AE60"/>
      </bottom>
      <diagonal/>
    </border>
    <border>
      <left/>
      <right style="thin">
        <color rgb="FF27AE60"/>
      </right>
      <top style="thin">
        <color rgb="FF27AE60"/>
      </top>
      <bottom style="thin">
        <color rgb="FF27AE60"/>
      </bottom>
      <diagonal/>
    </border>
    <border>
      <left/>
      <right/>
      <top/>
      <bottom style="hair">
        <color rgb="FFE5E5E0"/>
      </bottom>
      <diagonal/>
    </border>
    <border>
      <left style="medium">
        <color rgb="FF1A56DB"/>
      </left>
      <right/>
      <top style="thin">
        <color rgb="FFE5E5E0"/>
      </top>
      <bottom style="thin">
        <color rgb="FFE5E5E0"/>
      </bottom>
      <diagonal/>
    </border>
    <border>
      <left/>
      <right/>
      <top style="thin">
        <color rgb="FFE5E5E0"/>
      </top>
      <bottom style="thin">
        <color rgb="FFE5E5E0"/>
      </bottom>
      <diagonal/>
    </border>
    <border>
      <left/>
      <right style="thin">
        <color rgb="FFE5E5E0"/>
      </right>
      <top style="thin">
        <color rgb="FFE5E5E0"/>
      </top>
      <bottom style="thin">
        <color rgb="FFE5E5E0"/>
      </bottom>
      <diagonal/>
    </border>
    <border>
      <left/>
      <right/>
      <top/>
      <bottom style="thin">
        <color rgb="FFE5E5E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7" fillId="3" borderId="3" xfId="0" applyFont="1" applyFill="1" applyBorder="1" applyAlignment="1" applyProtection="1">
      <alignment horizontal="left" vertical="top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/>
    <xf numFmtId="0" fontId="27" fillId="0" borderId="0" xfId="0" applyFont="1"/>
    <xf numFmtId="0" fontId="28" fillId="2" borderId="0" xfId="0" applyFont="1" applyFill="1" applyAlignment="1">
      <alignment horizontal="center" vertical="center"/>
    </xf>
    <xf numFmtId="0" fontId="11" fillId="0" borderId="1" xfId="0" applyFont="1" applyBorder="1"/>
    <xf numFmtId="0" fontId="29" fillId="0" borderId="0" xfId="0" applyFont="1" applyAlignment="1">
      <alignment horizontal="left"/>
    </xf>
    <xf numFmtId="0" fontId="20" fillId="0" borderId="0" xfId="0" applyFont="1" applyAlignment="1">
      <alignment horizontal="left" vertical="top" wrapText="1"/>
    </xf>
    <xf numFmtId="0" fontId="30" fillId="2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0" fillId="6" borderId="0" xfId="0" applyFill="1"/>
    <xf numFmtId="0" fontId="2" fillId="6" borderId="0" xfId="0" applyFont="1" applyFill="1" applyAlignment="1">
      <alignment horizontal="left" vertical="top" wrapText="1"/>
    </xf>
    <xf numFmtId="0" fontId="0" fillId="6" borderId="1" xfId="0" applyFill="1" applyBorder="1"/>
    <xf numFmtId="0" fontId="1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center" vertical="center" wrapText="1"/>
    </xf>
    <xf numFmtId="164" fontId="15" fillId="6" borderId="0" xfId="0" applyNumberFormat="1" applyFont="1" applyFill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8" fillId="6" borderId="11" xfId="0" applyFont="1" applyFill="1" applyBorder="1" applyAlignment="1">
      <alignment horizontal="left" vertical="center" wrapText="1"/>
    </xf>
    <xf numFmtId="0" fontId="23" fillId="6" borderId="0" xfId="0" applyFont="1" applyFill="1" applyAlignment="1">
      <alignment horizontal="left" vertical="center" wrapText="1"/>
    </xf>
    <xf numFmtId="0" fontId="13" fillId="6" borderId="0" xfId="0" applyFont="1" applyFill="1" applyAlignment="1">
      <alignment horizontal="left" vertical="center" wrapText="1"/>
    </xf>
    <xf numFmtId="0" fontId="6" fillId="6" borderId="4" xfId="0" applyFont="1" applyFill="1" applyBorder="1" applyAlignment="1">
      <alignment horizontal="left" vertical="top" wrapText="1"/>
    </xf>
    <xf numFmtId="165" fontId="24" fillId="3" borderId="3" xfId="0" applyNumberFormat="1" applyFont="1" applyFill="1" applyBorder="1" applyAlignment="1">
      <alignment horizontal="center" vertical="center" wrapText="1"/>
    </xf>
    <xf numFmtId="0" fontId="7" fillId="6" borderId="0" xfId="0" applyFont="1" applyFill="1"/>
    <xf numFmtId="0" fontId="3" fillId="6" borderId="0" xfId="0" applyFont="1" applyFill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left" vertical="top"/>
    </xf>
    <xf numFmtId="0" fontId="7" fillId="6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left" vertical="top" wrapText="1"/>
    </xf>
    <xf numFmtId="0" fontId="9" fillId="6" borderId="0" xfId="0" applyFont="1" applyFill="1" applyAlignment="1">
      <alignment horizontal="center" vertical="center"/>
    </xf>
    <xf numFmtId="0" fontId="11" fillId="6" borderId="4" xfId="0" applyFont="1" applyFill="1" applyBorder="1" applyAlignment="1">
      <alignment horizontal="left" vertical="top" wrapText="1"/>
    </xf>
    <xf numFmtId="164" fontId="3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13" fillId="6" borderId="0" xfId="0" applyFont="1" applyFill="1"/>
    <xf numFmtId="0" fontId="15" fillId="6" borderId="0" xfId="0" applyFont="1" applyFill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6" fillId="6" borderId="0" xfId="0" applyFont="1" applyFill="1"/>
    <xf numFmtId="0" fontId="6" fillId="6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top" wrapText="1"/>
    </xf>
    <xf numFmtId="0" fontId="18" fillId="6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0" fillId="6" borderId="0" xfId="0" applyFill="1"/>
    <xf numFmtId="0" fontId="10" fillId="6" borderId="0" xfId="0" applyFont="1" applyFill="1" applyAlignment="1">
      <alignment horizontal="left" vertical="top" wrapText="1"/>
    </xf>
    <xf numFmtId="0" fontId="18" fillId="6" borderId="11" xfId="0" applyFont="1" applyFill="1" applyBorder="1" applyAlignment="1">
      <alignment horizontal="left" vertical="center" wrapText="1"/>
    </xf>
    <xf numFmtId="0" fontId="0" fillId="6" borderId="11" xfId="0" applyFill="1" applyBorder="1"/>
    <xf numFmtId="0" fontId="4" fillId="6" borderId="1" xfId="0" applyFont="1" applyFill="1" applyBorder="1" applyAlignment="1">
      <alignment horizontal="left" vertical="center"/>
    </xf>
    <xf numFmtId="0" fontId="0" fillId="6" borderId="1" xfId="0" applyFill="1" applyBorder="1"/>
    <xf numFmtId="0" fontId="3" fillId="3" borderId="12" xfId="0" applyFont="1" applyFill="1" applyBorder="1" applyAlignment="1">
      <alignment horizontal="left" vertical="center" wrapText="1"/>
    </xf>
    <xf numFmtId="0" fontId="0" fillId="3" borderId="13" xfId="0" applyFill="1" applyBorder="1"/>
    <xf numFmtId="0" fontId="0" fillId="3" borderId="14" xfId="0" applyFill="1" applyBorder="1"/>
    <xf numFmtId="0" fontId="19" fillId="3" borderId="12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/>
    </xf>
    <xf numFmtId="0" fontId="0" fillId="6" borderId="15" xfId="0" applyFill="1" applyBorder="1"/>
    <xf numFmtId="0" fontId="14" fillId="2" borderId="0" xfId="0" applyFont="1" applyFill="1" applyAlignment="1">
      <alignment horizontal="left" vertical="center" wrapText="1"/>
    </xf>
    <xf numFmtId="0" fontId="0" fillId="2" borderId="0" xfId="0" applyFill="1"/>
    <xf numFmtId="0" fontId="7" fillId="3" borderId="12" xfId="0" applyFont="1" applyFill="1" applyBorder="1" applyAlignment="1">
      <alignment horizontal="left" vertical="top" wrapText="1"/>
    </xf>
    <xf numFmtId="164" fontId="22" fillId="6" borderId="0" xfId="0" applyNumberFormat="1" applyFont="1" applyFill="1" applyAlignment="1">
      <alignment horizontal="left" vertical="center"/>
    </xf>
    <xf numFmtId="0" fontId="25" fillId="2" borderId="0" xfId="0" applyFont="1" applyFill="1" applyAlignment="1">
      <alignment horizontal="center" vertical="center" wrapText="1"/>
    </xf>
    <xf numFmtId="0" fontId="21" fillId="6" borderId="0" xfId="0" applyFont="1" applyFill="1"/>
    <xf numFmtId="0" fontId="0" fillId="6" borderId="6" xfId="0" applyFill="1" applyBorder="1"/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0" fillId="6" borderId="7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11" fillId="4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top" wrapText="1"/>
    </xf>
    <xf numFmtId="164" fontId="3" fillId="6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2" fillId="6" borderId="5" xfId="0" applyFont="1" applyFill="1" applyBorder="1" applyAlignment="1">
      <alignment horizontal="left" vertical="top" wrapText="1"/>
    </xf>
    <xf numFmtId="0" fontId="0" fillId="6" borderId="9" xfId="0" applyFill="1" applyBorder="1"/>
    <xf numFmtId="0" fontId="0" fillId="6" borderId="10" xfId="0" applyFill="1" applyBorder="1"/>
    <xf numFmtId="0" fontId="16" fillId="2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4" fillId="6" borderId="1" xfId="0" applyFont="1" applyFill="1" applyBorder="1"/>
    <xf numFmtId="0" fontId="19" fillId="2" borderId="0" xfId="0" applyFont="1" applyFill="1" applyAlignment="1">
      <alignment horizontal="left" vertical="center" wrapText="1"/>
    </xf>
    <xf numFmtId="0" fontId="1" fillId="6" borderId="0" xfId="0" applyFont="1" applyFill="1"/>
    <xf numFmtId="164" fontId="3" fillId="6" borderId="0" xfId="0" applyNumberFormat="1" applyFont="1" applyFill="1" applyAlignment="1">
      <alignment horizontal="left" vertical="center"/>
    </xf>
    <xf numFmtId="0" fontId="20" fillId="6" borderId="0" xfId="0" applyFont="1" applyFill="1" applyAlignment="1">
      <alignment horizontal="left" vertical="top" wrapText="1"/>
    </xf>
  </cellXfs>
  <cellStyles count="1">
    <cellStyle name="Normal" xfId="0" builtinId="0"/>
  </cellStyles>
  <dxfs count="137"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i/>
        <sz val="10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10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i/>
        <sz val="10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10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b/>
        <sz val="9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9"/>
        <color rgb="FF1A56DB"/>
        <name val="Arial"/>
      </font>
      <fill>
        <patternFill patternType="solid">
          <fgColor rgb="FFECEFF6"/>
          <bgColor rgb="FFECEFF6"/>
        </patternFill>
      </fill>
    </dxf>
    <dxf>
      <font>
        <b/>
        <sz val="9"/>
        <color rgb="FF8A5A2B"/>
        <name val="Arial"/>
      </font>
      <fill>
        <patternFill patternType="solid">
          <fgColor rgb="FFF4E7D5"/>
          <bgColor rgb="FFF4E7D5"/>
        </patternFill>
      </fill>
    </dxf>
    <dxf>
      <font>
        <i/>
        <sz val="10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10"/>
        <color rgb="FF27AE60"/>
        <name val="Arial"/>
      </font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ont>
        <b/>
        <sz val="8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8"/>
        <color rgb="FFF39C12"/>
        <name val="Arial"/>
      </font>
      <fill>
        <patternFill patternType="solid">
          <fgColor rgb="FFFDF3E3"/>
          <bgColor rgb="FFFDF3E3"/>
        </patternFill>
      </fill>
    </dxf>
    <dxf>
      <font>
        <b/>
        <sz val="8"/>
        <color rgb="FF27AE60"/>
        <name val="Arial"/>
      </font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i/>
        <sz val="10"/>
        <color rgb="FF8A8A85"/>
        <name val="Arial"/>
      </font>
      <fill>
        <patternFill patternType="solid">
          <fgColor rgb="FFF2F2EF"/>
          <bgColor rgb="FFF2F2EF"/>
        </patternFill>
      </fill>
    </dxf>
    <dxf>
      <font>
        <b/>
        <sz val="10"/>
        <color rgb="FF27AE60"/>
        <name val="Arial"/>
      </font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i/>
        <sz val="9"/>
        <color rgb="FF9A9A93"/>
        <name val="Arial"/>
      </font>
    </dxf>
    <dxf>
      <fill>
        <patternFill patternType="solid">
          <fgColor rgb="FFC9E9D6"/>
          <bgColor rgb="FFC9E9D6"/>
        </patternFill>
      </fill>
    </dxf>
    <dxf>
      <fill>
        <patternFill patternType="solid">
          <fgColor rgb="FFC9E9D6"/>
          <bgColor rgb="FFC9E9D6"/>
        </patternFill>
      </fill>
    </dxf>
    <dxf>
      <font>
        <i/>
        <sz val="9"/>
        <color rgb="FF9A9A93"/>
        <name val="Arial"/>
      </font>
    </dxf>
    <dxf>
      <font>
        <b/>
        <sz val="11"/>
        <color rgb="FFE74C3C"/>
        <name val="Arial"/>
      </font>
    </dxf>
    <dxf>
      <font>
        <b/>
        <sz val="11"/>
        <color rgb="FFF39C12"/>
        <name val="Arial"/>
      </font>
    </dxf>
    <dxf>
      <font>
        <b/>
        <sz val="11"/>
        <color rgb="FF27AE60"/>
        <name val="Arial"/>
      </font>
    </dxf>
    <dxf>
      <fill>
        <patternFill patternType="solid">
          <fgColor rgb="FFF2F2EF"/>
          <bgColor rgb="FFF2F2EF"/>
        </patternFill>
      </fill>
    </dxf>
    <dxf>
      <fill>
        <patternFill patternType="solid">
          <fgColor rgb="FFF2F2EF"/>
          <bgColor rgb="FFF2F2EF"/>
        </patternFill>
      </fill>
    </dxf>
    <dxf>
      <fill>
        <patternFill patternType="solid">
          <fgColor rgb="FFF2F2EF"/>
          <bgColor rgb="FFF2F2EF"/>
        </patternFill>
      </fill>
    </dxf>
    <dxf>
      <fill>
        <patternFill patternType="solid">
          <fgColor rgb="FFF2F2EF"/>
          <bgColor rgb="FFF2F2E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ovapolis.fr/le-livr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novapolis.fr/le-liv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1111"/>
    <pageSetUpPr fitToPage="1"/>
  </sheetPr>
  <dimension ref="B3:B31"/>
  <sheetViews>
    <sheetView showGridLines="0" tabSelected="1" workbookViewId="0"/>
  </sheetViews>
  <sheetFormatPr baseColWidth="10" defaultColWidth="9.06640625" defaultRowHeight="14.25" x14ac:dyDescent="0.45"/>
  <cols>
    <col min="1" max="1" width="4" customWidth="1"/>
    <col min="2" max="2" width="88" customWidth="1"/>
    <col min="3" max="3" width="4" customWidth="1"/>
  </cols>
  <sheetData>
    <row r="3" spans="2:2" ht="54" customHeight="1" x14ac:dyDescent="1.25">
      <c r="B3" s="3" t="s">
        <v>0</v>
      </c>
    </row>
    <row r="4" spans="2:2" ht="24" customHeight="1" x14ac:dyDescent="0.5">
      <c r="B4" s="4" t="s">
        <v>1</v>
      </c>
    </row>
    <row r="6" spans="2:2" ht="22.05" customHeight="1" x14ac:dyDescent="0.45">
      <c r="B6" s="5" t="s">
        <v>2</v>
      </c>
    </row>
    <row r="8" spans="2:2" x14ac:dyDescent="0.45">
      <c r="B8" s="6" t="s">
        <v>3</v>
      </c>
    </row>
    <row r="9" spans="2:2" ht="20" customHeight="1" x14ac:dyDescent="0.45">
      <c r="B9" s="7" t="s">
        <v>4</v>
      </c>
    </row>
    <row r="10" spans="2:2" ht="17" customHeight="1" x14ac:dyDescent="0.45">
      <c r="B10" s="8" t="s">
        <v>5</v>
      </c>
    </row>
    <row r="12" spans="2:2" ht="20" customHeight="1" x14ac:dyDescent="0.45">
      <c r="B12" s="7" t="s">
        <v>6</v>
      </c>
    </row>
    <row r="13" spans="2:2" ht="17" customHeight="1" x14ac:dyDescent="0.45">
      <c r="B13" s="8" t="s">
        <v>7</v>
      </c>
    </row>
    <row r="15" spans="2:2" ht="20" customHeight="1" x14ac:dyDescent="0.45">
      <c r="B15" s="7" t="s">
        <v>8</v>
      </c>
    </row>
    <row r="16" spans="2:2" ht="17" customHeight="1" x14ac:dyDescent="0.45">
      <c r="B16" s="8" t="s">
        <v>9</v>
      </c>
    </row>
    <row r="18" spans="2:2" ht="20" customHeight="1" x14ac:dyDescent="0.45">
      <c r="B18" s="7" t="s">
        <v>10</v>
      </c>
    </row>
    <row r="19" spans="2:2" ht="17" customHeight="1" x14ac:dyDescent="0.45">
      <c r="B19" s="8" t="s">
        <v>11</v>
      </c>
    </row>
    <row r="21" spans="2:2" ht="20" customHeight="1" x14ac:dyDescent="0.45">
      <c r="B21" s="7" t="s">
        <v>12</v>
      </c>
    </row>
    <row r="22" spans="2:2" ht="17" customHeight="1" x14ac:dyDescent="0.45">
      <c r="B22" s="8" t="s">
        <v>13</v>
      </c>
    </row>
    <row r="25" spans="2:2" x14ac:dyDescent="0.45">
      <c r="B25" s="6" t="s">
        <v>14</v>
      </c>
    </row>
    <row r="26" spans="2:2" ht="40.049999999999997" customHeight="1" x14ac:dyDescent="0.45">
      <c r="B26" s="9" t="s">
        <v>15</v>
      </c>
    </row>
    <row r="28" spans="2:2" ht="25.5" x14ac:dyDescent="0.45">
      <c r="B28" s="8" t="s">
        <v>16</v>
      </c>
    </row>
    <row r="30" spans="2:2" ht="15" x14ac:dyDescent="0.45">
      <c r="B30" s="10" t="s">
        <v>17</v>
      </c>
    </row>
    <row r="31" spans="2:2" x14ac:dyDescent="0.45">
      <c r="B31" s="11" t="s">
        <v>18</v>
      </c>
    </row>
  </sheetData>
  <hyperlinks>
    <hyperlink ref="B31" r:id="rId1" xr:uid="{00000000-0004-0000-0000-000000000000}"/>
  </hyperlinks>
  <pageMargins left="0.75" right="0.75" top="1" bottom="1" header="0.5" footer="0.5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9.9978637043366805E-2"/>
    <pageSetUpPr fitToPage="1"/>
  </sheetPr>
  <dimension ref="A1:S116"/>
  <sheetViews>
    <sheetView showGridLines="0" workbookViewId="0">
      <selection sqref="A1:F1"/>
    </sheetView>
  </sheetViews>
  <sheetFormatPr baseColWidth="10" defaultColWidth="9.06640625" defaultRowHeight="14.25" x14ac:dyDescent="0.45"/>
  <cols>
    <col min="1" max="1" width="27" customWidth="1"/>
    <col min="2" max="2" width="13" customWidth="1"/>
    <col min="3" max="3" width="10" customWidth="1"/>
    <col min="4" max="4" width="22" customWidth="1"/>
    <col min="5" max="6" width="16" customWidth="1"/>
    <col min="7" max="12" width="12" customWidth="1"/>
    <col min="13" max="16" width="13" hidden="1" customWidth="1"/>
  </cols>
  <sheetData>
    <row r="1" spans="1:19" ht="34.049999999999997" customHeight="1" x14ac:dyDescent="0.7">
      <c r="A1" s="65" t="s">
        <v>19</v>
      </c>
      <c r="B1" s="47"/>
      <c r="C1" s="47"/>
      <c r="D1" s="47"/>
      <c r="E1" s="47"/>
      <c r="F1" s="47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18" customHeight="1" x14ac:dyDescent="0.45">
      <c r="A2" s="57" t="s">
        <v>20</v>
      </c>
      <c r="B2" s="47"/>
      <c r="C2" s="47"/>
      <c r="D2" s="47"/>
      <c r="E2" s="47"/>
      <c r="F2" s="47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x14ac:dyDescent="0.4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4" customHeight="1" x14ac:dyDescent="0.45">
      <c r="A4" s="51" t="s">
        <v>21</v>
      </c>
      <c r="B4" s="52"/>
      <c r="C4" s="52"/>
      <c r="D4" s="52"/>
      <c r="E4" s="52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36" customHeight="1" x14ac:dyDescent="0.45">
      <c r="A5" s="60" t="str">
        <f>IF(O60&lt;999,P60,IF(O61&lt;999,P61,IF(O62&lt;999,P62,IF(O63&lt;999,P63,IF(O64&lt;999,P64,IF(O65&lt;999,P65,IF(O66&lt;999,P66,IF(O67&lt;999,P67,IF(O68&lt;999,P68,IF(O69&lt;999,P69,IF(O70&lt;999,P70,IF(O71&lt;999,P71,IF(O72&lt;999,P72,IF(O73&lt;999,P73,IF(O74&lt;999,P74,"Les quinze gestes sont faits. Le plan ne se termine pas, il repart : un écart chasse l’autre, et le prochain lundi vous trouve prêt.")))))))))))))))</f>
        <v>Chapitre 1 — écrivez la question qui vous occupe, puis reformulez-la jusqu’à en être le sujet. Dix minutes, ce soir.</v>
      </c>
      <c r="B5" s="61"/>
      <c r="C5" s="61"/>
      <c r="D5" s="61"/>
      <c r="E5" s="61"/>
      <c r="F5" s="6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x14ac:dyDescent="0.4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4" customHeight="1" x14ac:dyDescent="0.45">
      <c r="A7" s="51" t="s">
        <v>22</v>
      </c>
      <c r="B7" s="52"/>
      <c r="C7" s="52"/>
      <c r="D7" s="52"/>
      <c r="E7" s="52"/>
      <c r="F7" s="5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26" customHeight="1" x14ac:dyDescent="0.45">
      <c r="A8" s="15" t="str">
        <f>(MIN('1 Voir clair'!Z2,'1 Voir clair'!Z1)+MIN('2 Se situer'!Z2,'2 Se situer'!Z1)+MIN('3 Se déplacer'!Z2,'3 Se déplacer'!Z1)+MIN('4 Prendre son avance'!Z2,'4 Prendre son avance'!Z1))&amp;" gestes sur "&amp;('1 Voir clair'!Z1+'2 Se situer'!Z1+'3 Se déplacer'!Z1+'4 Prendre son avance'!Z1)</f>
        <v>0 gestes sur 14</v>
      </c>
      <c r="B8" s="63">
        <f>IF(('1 Voir clair'!Z1+'2 Se situer'!Z1+'3 Se déplacer'!Z1+'4 Prendre son avance'!Z1)=0,0,(MIN('1 Voir clair'!Z2,'1 Voir clair'!Z1)+MIN('2 Se situer'!Z2,'2 Se situer'!Z1)+MIN('3 Se déplacer'!Z2,'3 Se déplacer'!Z1)+MIN('4 Prendre son avance'!Z2,'4 Prendre son avance'!Z1))/('1 Voir clair'!Z1+'2 Se situer'!Z1+'3 Se déplacer'!Z1+'4 Prendre son avance'!Z1))</f>
        <v>0</v>
      </c>
      <c r="C8" s="47"/>
      <c r="D8" s="47"/>
      <c r="E8" s="47"/>
      <c r="F8" s="47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20" customHeight="1" x14ac:dyDescent="0.45">
      <c r="A9" s="16" t="s">
        <v>23</v>
      </c>
      <c r="B9" s="17" t="str">
        <f>MIN('1 Voir clair'!Z2,'1 Voir clair'!Z1)&amp;" / "&amp;'1 Voir clair'!Z1</f>
        <v>0 / 3</v>
      </c>
      <c r="C9" s="18">
        <f>IF('1 Voir clair'!Z1=0,0,MIN('1 Voir clair'!Z2,'1 Voir clair'!Z1)/'1 Voir clair'!Z1)</f>
        <v>0</v>
      </c>
      <c r="D9" s="12"/>
      <c r="E9" s="12"/>
      <c r="F9" s="19" t="s">
        <v>24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ht="20" customHeight="1" x14ac:dyDescent="0.45">
      <c r="A10" s="16" t="s">
        <v>25</v>
      </c>
      <c r="B10" s="17" t="str">
        <f>MIN('2 Se situer'!Z2,'2 Se situer'!Z1)&amp;" / "&amp;'2 Se situer'!Z1</f>
        <v>0 / 4</v>
      </c>
      <c r="C10" s="18">
        <f>IF('2 Se situer'!Z1=0,0,MIN('2 Se situer'!Z2,'2 Se situer'!Z1)/'2 Se situer'!Z1)</f>
        <v>0</v>
      </c>
      <c r="D10" s="12"/>
      <c r="E10" s="12"/>
      <c r="F10" s="19" t="s">
        <v>26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20" customHeight="1" x14ac:dyDescent="0.45">
      <c r="A11" s="16" t="s">
        <v>27</v>
      </c>
      <c r="B11" s="17" t="str">
        <f>MIN('3 Se déplacer'!Z2,'3 Se déplacer'!Z1)&amp;" / "&amp;'3 Se déplacer'!Z1</f>
        <v>0 / 3</v>
      </c>
      <c r="C11" s="18">
        <f>IF('3 Se déplacer'!Z1=0,0,MIN('3 Se déplacer'!Z2,'3 Se déplacer'!Z1)/'3 Se déplacer'!Z1)</f>
        <v>0</v>
      </c>
      <c r="D11" s="12"/>
      <c r="E11" s="12"/>
      <c r="F11" s="19" t="s">
        <v>28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20" customHeight="1" x14ac:dyDescent="0.45">
      <c r="A12" s="16" t="s">
        <v>29</v>
      </c>
      <c r="B12" s="17" t="str">
        <f>MIN('4 Prendre son avance'!Z2,'4 Prendre son avance'!Z1)&amp;" / "&amp;'4 Prendre son avance'!Z1</f>
        <v>0 / 4</v>
      </c>
      <c r="C12" s="18">
        <f>IF('4 Prendre son avance'!Z1=0,0,MIN('4 Prendre son avance'!Z2,'4 Prendre son avance'!Z1)/'4 Prendre son avance'!Z1)</f>
        <v>0</v>
      </c>
      <c r="D12" s="12"/>
      <c r="E12" s="12"/>
      <c r="F12" s="19" t="s">
        <v>30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4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24" customHeight="1" x14ac:dyDescent="0.45">
      <c r="A14" s="51" t="s">
        <v>31</v>
      </c>
      <c r="B14" s="52"/>
      <c r="C14" s="52"/>
      <c r="D14" s="52"/>
      <c r="E14" s="52"/>
      <c r="F14" s="5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8" customHeight="1" x14ac:dyDescent="0.45">
      <c r="A15" s="20" t="s">
        <v>32</v>
      </c>
      <c r="B15" s="49" t="str">
        <f>IF(MIN('1 Voir clair'!Z2,'1 Voir clair'!Z1)&gt;='1 Voir clair'!Z1,"✔ mouvement terminé","")</f>
        <v/>
      </c>
      <c r="C15" s="50"/>
      <c r="D15" s="50"/>
      <c r="E15" s="50"/>
      <c r="F15" s="50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21" customHeight="1" x14ac:dyDescent="0.45">
      <c r="A16" s="21" t="s">
        <v>33</v>
      </c>
      <c r="B16" s="53" t="str">
        <f>IF(OR('1 Voir clair'!B12="",TRIM('1 Voir clair'!B12)=TRIM('1 Voir clair'!Q12)),"",'1 Voir clair'!B12)</f>
        <v/>
      </c>
      <c r="C16" s="54"/>
      <c r="D16" s="54"/>
      <c r="E16" s="55"/>
      <c r="F16" s="19" t="s">
        <v>34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21" customHeight="1" x14ac:dyDescent="0.45">
      <c r="A17" s="21" t="s">
        <v>35</v>
      </c>
      <c r="B17" s="53" t="str">
        <f>IF(OR('1 Voir clair'!B32="",TRIM('1 Voir clair'!B32)=TRIM('1 Voir clair'!Q32)),"",'1 Voir clair'!B32)</f>
        <v/>
      </c>
      <c r="C17" s="54"/>
      <c r="D17" s="54"/>
      <c r="E17" s="55"/>
      <c r="F17" s="19" t="s">
        <v>36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21" customHeight="1" x14ac:dyDescent="0.45">
      <c r="A18" s="21" t="s">
        <v>37</v>
      </c>
      <c r="B18" s="53" t="str">
        <f>IF('1 Voir clair'!A57="","",'1 Voir clair'!A57)</f>
        <v/>
      </c>
      <c r="C18" s="54"/>
      <c r="D18" s="54"/>
      <c r="E18" s="55"/>
      <c r="F18" s="19" t="s">
        <v>38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8" customHeight="1" x14ac:dyDescent="0.45">
      <c r="A19" s="20" t="s">
        <v>39</v>
      </c>
      <c r="B19" s="49" t="str">
        <f>IF(MIN('2 Se situer'!Z2,'2 Se situer'!Z1)&gt;='2 Se situer'!Z1,"✔ mouvement terminé","")</f>
        <v/>
      </c>
      <c r="C19" s="50"/>
      <c r="D19" s="50"/>
      <c r="E19" s="50"/>
      <c r="F19" s="50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ht="21" customHeight="1" x14ac:dyDescent="0.45">
      <c r="A20" s="21" t="s">
        <v>40</v>
      </c>
      <c r="B20" s="53" t="str">
        <f>IF('2 Se situer'!B25+'2 Se situer'!B27=0,"",'2 Se situer'!B25&amp;" se banaliseront, "&amp;'2 Se situer'!B27&amp;" resteront rares")</f>
        <v/>
      </c>
      <c r="C20" s="54"/>
      <c r="D20" s="54"/>
      <c r="E20" s="55"/>
      <c r="F20" s="19" t="s">
        <v>41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ht="21" customHeight="1" x14ac:dyDescent="0.45">
      <c r="A21" s="21" t="s">
        <v>42</v>
      </c>
      <c r="B21" s="53" t="str">
        <f>IF('2 Se situer'!B59="",IF('2 Se situer'!B57="—","",'2 Se situer'!B57),'2 Se situer'!B59)</f>
        <v/>
      </c>
      <c r="C21" s="54"/>
      <c r="D21" s="54"/>
      <c r="E21" s="55"/>
      <c r="F21" s="19" t="s">
        <v>43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21" customHeight="1" x14ac:dyDescent="0.45">
      <c r="A22" s="21" t="s">
        <v>44</v>
      </c>
      <c r="B22" s="53" t="str">
        <f>IF(OR('2 Se situer'!B82="",LEFT('2 Se situer'!B82,2)="À "),"",'2 Se situer'!B82)</f>
        <v/>
      </c>
      <c r="C22" s="54"/>
      <c r="D22" s="54"/>
      <c r="E22" s="55"/>
      <c r="F22" s="19" t="s">
        <v>45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21" customHeight="1" x14ac:dyDescent="0.45">
      <c r="A23" s="21" t="s">
        <v>46</v>
      </c>
      <c r="B23" s="53" t="str">
        <f>IF(IF(OR('2 Se situer'!B98="",TRIM('2 Se situer'!B98)=TRIM('2 Se situer'!Q98)),"",'2 Se situer'!B98)="","",IF(OR('2 Se situer'!B98="",TRIM('2 Se situer'!B98)=TRIM('2 Se situer'!Q98)),"",'2 Se situer'!B98)&amp;IF('2 Se situer'!B102="",""," · terrain "&amp;LOWER('2 Se situer'!B102)))</f>
        <v/>
      </c>
      <c r="C23" s="54"/>
      <c r="D23" s="54"/>
      <c r="E23" s="55"/>
      <c r="F23" s="19" t="s">
        <v>47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ht="21" customHeight="1" x14ac:dyDescent="0.45">
      <c r="A24" s="22" t="s">
        <v>48</v>
      </c>
      <c r="B24" s="56" t="str">
        <f>IF(OR('2 Se situer'!B104="",LEFT('2 Se situer'!B104,2)="À "),"",'2 Se situer'!B104&amp;IF(IF(OR('2 Se situer'!B105="",TRIM('2 Se situer'!B105)=TRIM('2 Se situer'!Q105)),"",'2 Se situer'!B105)="",""," · "&amp;IF(OR('2 Se situer'!B105="",TRIM('2 Se situer'!B105)=TRIM('2 Se situer'!Q105)),"",'2 Se situer'!B105)))</f>
        <v/>
      </c>
      <c r="C24" s="54"/>
      <c r="D24" s="54"/>
      <c r="E24" s="55"/>
      <c r="F24" s="19" t="s">
        <v>47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8" customHeight="1" x14ac:dyDescent="0.45">
      <c r="A25" s="20" t="s">
        <v>49</v>
      </c>
      <c r="B25" s="49" t="str">
        <f>IF(MIN('3 Se déplacer'!Z2,'3 Se déplacer'!Z1)&gt;='3 Se déplacer'!Z1,"✔ mouvement terminé","")</f>
        <v/>
      </c>
      <c r="C25" s="50"/>
      <c r="D25" s="50"/>
      <c r="E25" s="50"/>
      <c r="F25" s="50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ht="21" customHeight="1" x14ac:dyDescent="0.45">
      <c r="A26" s="21" t="s">
        <v>50</v>
      </c>
      <c r="B26" s="53" t="str">
        <f>IF(OR('3 Se déplacer'!B18="",TRIM('3 Se déplacer'!B18)=TRIM('3 Se déplacer'!Q18)),"",'3 Se déplacer'!B18)</f>
        <v/>
      </c>
      <c r="C26" s="54"/>
      <c r="D26" s="54"/>
      <c r="E26" s="55"/>
      <c r="F26" s="19" t="s">
        <v>51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ht="21" customHeight="1" x14ac:dyDescent="0.45">
      <c r="A27" s="21" t="s">
        <v>52</v>
      </c>
      <c r="B27" s="53" t="str">
        <f>IF('3 Se déplacer'!B37="","",'3 Se déplacer'!B37)</f>
        <v/>
      </c>
      <c r="C27" s="54"/>
      <c r="D27" s="54"/>
      <c r="E27" s="55"/>
      <c r="F27" s="19" t="s">
        <v>53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21" customHeight="1" x14ac:dyDescent="0.45">
      <c r="A28" s="21" t="s">
        <v>54</v>
      </c>
      <c r="B28" s="53" t="str">
        <f>IF(OR('3 Se déplacer'!B81="",TRIM('3 Se déplacer'!B81)=TRIM('3 Se déplacer'!Q81)),"",'3 Se déplacer'!B81)</f>
        <v/>
      </c>
      <c r="C28" s="54"/>
      <c r="D28" s="54"/>
      <c r="E28" s="55"/>
      <c r="F28" s="19" t="s">
        <v>55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18" customHeight="1" x14ac:dyDescent="0.45">
      <c r="A29" s="20" t="s">
        <v>56</v>
      </c>
      <c r="B29" s="49" t="str">
        <f>IF(MIN('4 Prendre son avance'!Z2,'4 Prendre son avance'!Z1)&gt;='4 Prendre son avance'!Z1,"✔ mouvement terminé","")</f>
        <v/>
      </c>
      <c r="C29" s="50"/>
      <c r="D29" s="50"/>
      <c r="E29" s="50"/>
      <c r="F29" s="50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21" customHeight="1" x14ac:dyDescent="0.45">
      <c r="A30" s="21" t="s">
        <v>57</v>
      </c>
      <c r="B30" s="53" t="str">
        <f>IF(OR('4 Prendre son avance'!B31="",TRIM('4 Prendre son avance'!B31)=TRIM('4 Prendre son avance'!Q31)),"",'4 Prendre son avance'!B31)</f>
        <v/>
      </c>
      <c r="C30" s="54"/>
      <c r="D30" s="54"/>
      <c r="E30" s="55"/>
      <c r="F30" s="19" t="s">
        <v>58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21" customHeight="1" x14ac:dyDescent="0.45">
      <c r="A31" s="21" t="s">
        <v>59</v>
      </c>
      <c r="B31" s="53" t="str">
        <f>IF(OR('4 Prendre son avance'!B52="",TRIM('4 Prendre son avance'!B52)=TRIM('4 Prendre son avance'!Q52)),"",'4 Prendre son avance'!B52)</f>
        <v/>
      </c>
      <c r="C31" s="54"/>
      <c r="D31" s="54"/>
      <c r="E31" s="55"/>
      <c r="F31" s="19" t="s">
        <v>60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21" customHeight="1" x14ac:dyDescent="0.45">
      <c r="A32" s="21" t="s">
        <v>61</v>
      </c>
      <c r="B32" s="53" t="str">
        <f>IF(OR('4 Prendre son avance'!B71="",TRIM('4 Prendre son avance'!B71)=TRIM('4 Prendre son avance'!Q71)),"",'4 Prendre son avance'!B71)</f>
        <v/>
      </c>
      <c r="C32" s="54"/>
      <c r="D32" s="54"/>
      <c r="E32" s="55"/>
      <c r="F32" s="19" t="s">
        <v>62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x14ac:dyDescent="0.4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ht="24" customHeight="1" x14ac:dyDescent="0.45">
      <c r="A34" s="51" t="s">
        <v>63</v>
      </c>
      <c r="B34" s="52"/>
      <c r="C34" s="52"/>
      <c r="D34" s="52"/>
      <c r="E34" s="52"/>
      <c r="F34" s="5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ht="130.05000000000001" customHeight="1" x14ac:dyDescent="0.45">
      <c r="A35" s="62" t="str">
        <f>IF(LEN(M90&amp;M91&amp;M92&amp;M93)=0,M97&amp;M96,M90&amp;M91&amp;M92&amp;M93&amp;M94&amp;M95)</f>
        <v>Votre synthèse s’écrira ici, phrase par phrase, à mesure que vous avancez. Elle a besoin de quatre choses : vos dix tâches (chapitre 4), votre lettre (chapitre 5), votre croix (chapitre 6) et votre terrain (chapitre 7). Une heure en tout. Commencez par : Commencez maintenant par : Chapitre 1 — écrivez la question qui vous occupe, puis reformulez-la jusqu’à en être le sujet. Dix minutes, ce soir.</v>
      </c>
      <c r="B35" s="54"/>
      <c r="C35" s="54"/>
      <c r="D35" s="54"/>
      <c r="E35" s="54"/>
      <c r="F35" s="55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x14ac:dyDescent="0.4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ht="24" customHeight="1" x14ac:dyDescent="0.45">
      <c r="A37" s="51" t="s">
        <v>64</v>
      </c>
      <c r="B37" s="52"/>
      <c r="C37" s="52"/>
      <c r="D37" s="52"/>
      <c r="E37" s="52"/>
      <c r="F37" s="5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x14ac:dyDescent="0.45">
      <c r="A38" s="23" t="s">
        <v>65</v>
      </c>
      <c r="B38" s="23" t="s">
        <v>66</v>
      </c>
      <c r="C38" s="58" t="s">
        <v>67</v>
      </c>
      <c r="D38" s="59"/>
      <c r="E38" s="58" t="s">
        <v>68</v>
      </c>
      <c r="F38" s="59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ht="21" customHeight="1" x14ac:dyDescent="0.45">
      <c r="A39" s="16" t="s">
        <v>69</v>
      </c>
      <c r="B39" s="24">
        <f>IF('2 Se situer'!B25=0,0,ROUND((1-'2 Se situer'!C25)*100,0))</f>
        <v>0</v>
      </c>
      <c r="C39" s="12"/>
      <c r="D39" s="19" t="s">
        <v>70</v>
      </c>
      <c r="E39" s="46" t="str">
        <f>IF(B39=0,"Chapitre 4 · à renseigner",IF(B39&lt;40,"Chapitre 4 · fragile, c’est ici que ça coûte",IF(B39&lt;70,"Chapitre 4 · en chantier","Chapitre 4 · solide, tenez-le")))</f>
        <v>Chapitre 4 · à renseigner</v>
      </c>
      <c r="F39" s="47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ht="21" customHeight="1" x14ac:dyDescent="0.45">
      <c r="A40" s="16" t="s">
        <v>42</v>
      </c>
      <c r="B40" s="24">
        <f>IF(AND('2 Se situer'!B59="",'2 Se situer'!B57="—"),0,IF(LEFT(IF('2 Se situer'!B59="",'2 Se situer'!B57,'2 Se situer'!B59),1)="C",100,IF(LEFT(IF('2 Se situer'!B59="",'2 Se situer'!B57,'2 Se situer'!B59),1)="B",60,25)))</f>
        <v>0</v>
      </c>
      <c r="C40" s="12"/>
      <c r="D40" s="19" t="s">
        <v>71</v>
      </c>
      <c r="E40" s="46" t="str">
        <f>IF(B40=0,"Chapitre 5 · à renseigner",IF(B40&lt;40,"Chapitre 5 · fragile, c’est ici que ça coûte",IF(B40&lt;70,"Chapitre 5 · en chantier","Chapitre 5 · solide, tenez-le")))</f>
        <v>Chapitre 5 · à renseigner</v>
      </c>
      <c r="F40" s="47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21" customHeight="1" x14ac:dyDescent="0.45">
      <c r="A41" s="16" t="s">
        <v>72</v>
      </c>
      <c r="B41" s="24">
        <f>IF('2 Se situer'!B102="",0,IF('2 Se situer'!B102="Porteur",100,IF('2 Se situer'!B102="Qui se polarise",55,25)))</f>
        <v>0</v>
      </c>
      <c r="C41" s="12"/>
      <c r="D41" s="19" t="s">
        <v>73</v>
      </c>
      <c r="E41" s="46" t="str">
        <f>IF(B41=0,"Chapitre 7 · à renseigner",IF(B41&lt;40,"Chapitre 7 · fragile, c’est ici que ça coûte",IF(B41&lt;70,"Chapitre 7 · en chantier","Chapitre 7 · solide, tenez-le")))</f>
        <v>Chapitre 7 · à renseigner</v>
      </c>
      <c r="F41" s="47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21" customHeight="1" x14ac:dyDescent="0.45">
      <c r="A42" s="16" t="s">
        <v>74</v>
      </c>
      <c r="B42" s="24">
        <f>ROUND((IF('3 Se déplacer'!E5="Fait",1,0)+IF('3 Se déplacer'!E68="Fait",1,0))/2*100,0)</f>
        <v>0</v>
      </c>
      <c r="C42" s="12"/>
      <c r="D42" s="19" t="s">
        <v>75</v>
      </c>
      <c r="E42" s="46" t="str">
        <f>IF(B42=0,"Chapitres 8 et 11 · à renseigner",IF(B42&lt;40,"Chapitres 8 et 11 · fragile, c’est ici que ça coûte",IF(B42&lt;70,"Chapitres 8 et 11 · en chantier","Chapitres 8 et 11 · solide, tenez-le")))</f>
        <v>Chapitres 8 et 11 · à renseigner</v>
      </c>
      <c r="F42" s="47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ht="21" customHeight="1" x14ac:dyDescent="0.45">
      <c r="A43" s="16" t="s">
        <v>76</v>
      </c>
      <c r="B43" s="24">
        <f>ROUND((IF('4 Prendre son avance'!E5="Fait",1,0)+IF('4 Prendre son avance'!E26="Fait",1,0))/2*100,0)</f>
        <v>0</v>
      </c>
      <c r="C43" s="12"/>
      <c r="D43" s="19" t="s">
        <v>77</v>
      </c>
      <c r="E43" s="46" t="str">
        <f>IF(B43=0,"Chapitres 12 et 13 · à renseigner",IF(B43&lt;40,"Chapitres 12 et 13 · fragile, c’est ici que ça coûte",IF(B43&lt;70,"Chapitres 12 et 13 · en chantier","Chapitres 12 et 13 · solide, tenez-le")))</f>
        <v>Chapitres 12 et 13 · à renseigner</v>
      </c>
      <c r="F43" s="47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ht="21" customHeight="1" x14ac:dyDescent="0.45">
      <c r="A44" s="16" t="s">
        <v>78</v>
      </c>
      <c r="B44" s="24">
        <f>ROUND((IF('4 Prendre son avance'!E43="Fait",1,0)+IF('4 Prendre son avance'!E66="Fait",1,0))/2*100,0)</f>
        <v>0</v>
      </c>
      <c r="C44" s="12"/>
      <c r="D44" s="19" t="s">
        <v>79</v>
      </c>
      <c r="E44" s="46" t="str">
        <f>IF(B44=0,"Chapitres 14 et 15 · à renseigner",IF(B44&lt;40,"Chapitres 14 et 15 · fragile, c’est ici que ça coûte",IF(B44&lt;70,"Chapitres 14 et 15 · en chantier","Chapitres 14 et 15 · solide, tenez-le")))</f>
        <v>Chapitres 14 et 15 · à renseigner</v>
      </c>
      <c r="F44" s="47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ht="21" customHeight="1" x14ac:dyDescent="0.45">
      <c r="A45" s="16" t="s">
        <v>80</v>
      </c>
      <c r="B45" s="24">
        <f>ROUND(MIN('Mes 90 jours'!Z2,12)/12*100,0)</f>
        <v>0</v>
      </c>
      <c r="C45" s="12"/>
      <c r="D45" s="19" t="s">
        <v>81</v>
      </c>
      <c r="E45" s="46" t="str">
        <f>IF(B45=0,"Mes 90 jours · à renseigner",IF(B45&lt;40,"Mes 90 jours · fragile, c’est ici que ça coûte",IF(B45&lt;70,"Mes 90 jours · en chantier","Mes 90 jours · solide, tenez-le")))</f>
        <v>Mes 90 jours · à renseigner</v>
      </c>
      <c r="F45" s="47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x14ac:dyDescent="0.4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ht="24" customHeight="1" x14ac:dyDescent="0.45">
      <c r="A47" s="51" t="s">
        <v>82</v>
      </c>
      <c r="B47" s="52"/>
      <c r="C47" s="52"/>
      <c r="D47" s="52"/>
      <c r="E47" s="52"/>
      <c r="F47" s="5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x14ac:dyDescent="0.45">
      <c r="A48" s="25" t="s">
        <v>83</v>
      </c>
      <c r="B48" s="17" t="str">
        <f>'Mes 90 jours'!Z1&amp;" / 6"</f>
        <v>0 / 6</v>
      </c>
      <c r="C48" s="18">
        <f>MIN('Mes 90 jours'!Z1,6)/6</f>
        <v>0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x14ac:dyDescent="0.45">
      <c r="A49" s="25" t="s">
        <v>84</v>
      </c>
      <c r="B49" s="17" t="str">
        <f>'Mes 90 jours'!Z2&amp;" / 12"</f>
        <v>0 / 12</v>
      </c>
      <c r="C49" s="18">
        <f>MIN('Mes 90 jours'!Z2,12)/12</f>
        <v>0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x14ac:dyDescent="0.45">
      <c r="A50" s="25" t="s">
        <v>85</v>
      </c>
      <c r="B50" s="17" t="str">
        <f>'Mes 90 jours'!Z3&amp;" / 12"</f>
        <v>0 / 12</v>
      </c>
      <c r="C50" s="18">
        <f>MIN('Mes 90 jours'!Z3,12)/12</f>
        <v>0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x14ac:dyDescent="0.4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ht="32" customHeight="1" x14ac:dyDescent="0.45">
      <c r="A52" s="64" t="s">
        <v>86</v>
      </c>
      <c r="B52" s="61"/>
      <c r="C52" s="61"/>
      <c r="D52" s="61"/>
      <c r="E52" s="61"/>
      <c r="F52" s="6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x14ac:dyDescent="0.4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x14ac:dyDescent="0.45">
      <c r="A54" s="48" t="s">
        <v>87</v>
      </c>
      <c r="B54" s="47"/>
      <c r="C54" s="47"/>
      <c r="D54" s="47"/>
      <c r="E54" s="47"/>
      <c r="F54" s="47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x14ac:dyDescent="0.4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x14ac:dyDescent="0.4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x14ac:dyDescent="0.4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 x14ac:dyDescent="0.4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 x14ac:dyDescent="0.4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:19" x14ac:dyDescent="0.4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>
        <v>1</v>
      </c>
      <c r="N60" s="12" t="str">
        <f>'1 Voir clair'!E5</f>
        <v>À faire</v>
      </c>
      <c r="O60" s="12">
        <f>IF(N60="Fait",999,1)</f>
        <v>1</v>
      </c>
      <c r="P60" s="12" t="s">
        <v>88</v>
      </c>
      <c r="Q60" s="12"/>
      <c r="R60" s="12"/>
      <c r="S60" s="12"/>
    </row>
    <row r="61" spans="1:19" x14ac:dyDescent="0.4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>
        <v>2</v>
      </c>
      <c r="N61" s="12" t="str">
        <f>'1 Voir clair'!E27</f>
        <v>À faire</v>
      </c>
      <c r="O61" s="12">
        <f>IF(N61="Fait",999,2)</f>
        <v>2</v>
      </c>
      <c r="P61" s="12" t="s">
        <v>89</v>
      </c>
      <c r="Q61" s="12"/>
      <c r="R61" s="12"/>
      <c r="S61" s="12"/>
    </row>
    <row r="62" spans="1:19" x14ac:dyDescent="0.4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>
        <v>3</v>
      </c>
      <c r="N62" s="12" t="str">
        <f>'1 Voir clair'!E51</f>
        <v>À faire</v>
      </c>
      <c r="O62" s="12">
        <f>IF(N62="Fait",999,3)</f>
        <v>3</v>
      </c>
      <c r="P62" s="12" t="s">
        <v>90</v>
      </c>
      <c r="Q62" s="12"/>
      <c r="R62" s="12"/>
      <c r="S62" s="12"/>
    </row>
    <row r="63" spans="1:19" x14ac:dyDescent="0.4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>
        <v>4</v>
      </c>
      <c r="N63" s="12" t="str">
        <f>'2 Se situer'!E5</f>
        <v>À faire</v>
      </c>
      <c r="O63" s="12">
        <f>IF(N63="Fait",999,4)</f>
        <v>4</v>
      </c>
      <c r="P63" s="12" t="s">
        <v>91</v>
      </c>
      <c r="Q63" s="12"/>
      <c r="R63" s="12"/>
      <c r="S63" s="12"/>
    </row>
    <row r="64" spans="1:19" x14ac:dyDescent="0.4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>
        <v>5</v>
      </c>
      <c r="N64" s="12" t="str">
        <f>'2 Se situer'!E37</f>
        <v>À faire</v>
      </c>
      <c r="O64" s="12">
        <f>IF(N64="Fait",999,5)</f>
        <v>5</v>
      </c>
      <c r="P64" s="12" t="s">
        <v>92</v>
      </c>
      <c r="Q64" s="12"/>
      <c r="R64" s="12"/>
      <c r="S64" s="12"/>
    </row>
    <row r="65" spans="1:19" x14ac:dyDescent="0.4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>
        <v>6</v>
      </c>
      <c r="N65" s="12" t="str">
        <f>'2 Se situer'!E69</f>
        <v>À faire</v>
      </c>
      <c r="O65" s="12">
        <f>IF(N65="Fait",999,6)</f>
        <v>6</v>
      </c>
      <c r="P65" s="12" t="s">
        <v>93</v>
      </c>
      <c r="Q65" s="12"/>
      <c r="R65" s="12"/>
      <c r="S65" s="12"/>
    </row>
    <row r="66" spans="1:19" x14ac:dyDescent="0.4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>
        <v>7</v>
      </c>
      <c r="N66" s="12" t="str">
        <f>'2 Se situer'!E93</f>
        <v>À faire</v>
      </c>
      <c r="O66" s="12">
        <f>IF(N66="Fait",999,7)</f>
        <v>7</v>
      </c>
      <c r="P66" s="12" t="s">
        <v>94</v>
      </c>
      <c r="Q66" s="12"/>
      <c r="R66" s="12"/>
      <c r="S66" s="12"/>
    </row>
    <row r="67" spans="1:19" x14ac:dyDescent="0.4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>
        <v>8</v>
      </c>
      <c r="N67" s="12" t="str">
        <f>'3 Se déplacer'!E5</f>
        <v>À faire</v>
      </c>
      <c r="O67" s="12">
        <f>IF(N67="Fait",999,8)</f>
        <v>8</v>
      </c>
      <c r="P67" s="12" t="s">
        <v>95</v>
      </c>
      <c r="Q67" s="12"/>
      <c r="R67" s="12"/>
      <c r="S67" s="12"/>
    </row>
    <row r="68" spans="1:19" x14ac:dyDescent="0.4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>
        <v>9</v>
      </c>
      <c r="N68" s="12" t="str">
        <f>'3 Se déplacer'!E27</f>
        <v>À faire</v>
      </c>
      <c r="O68" s="12">
        <f>IF(N68="Fait",999,9)</f>
        <v>9</v>
      </c>
      <c r="P68" s="12" t="s">
        <v>96</v>
      </c>
      <c r="Q68" s="12"/>
      <c r="R68" s="12"/>
      <c r="S68" s="12"/>
    </row>
    <row r="69" spans="1:19" x14ac:dyDescent="0.4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>
        <v>10</v>
      </c>
      <c r="N69" s="12" t="str">
        <f>'3 Se déplacer'!E47</f>
        <v>À faire</v>
      </c>
      <c r="O69" s="12">
        <f>IF(OR(ISNUMBER(SEARCH("Changer de terrain",'2 Se situer'!B104)),ISNUMBER(SEARCH("Commencer par la preuve",'2 Se situer'!B104))),IF(N69="Fait",999,10),999)</f>
        <v>999</v>
      </c>
      <c r="P69" s="12" t="s">
        <v>97</v>
      </c>
      <c r="Q69" s="12"/>
      <c r="R69" s="12"/>
      <c r="S69" s="12"/>
    </row>
    <row r="70" spans="1:19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>
        <v>11</v>
      </c>
      <c r="N70" s="12" t="str">
        <f>'3 Se déplacer'!E68</f>
        <v>À faire</v>
      </c>
      <c r="O70" s="12">
        <f>IF(N70="Fait",999,11)</f>
        <v>11</v>
      </c>
      <c r="P70" s="12" t="s">
        <v>98</v>
      </c>
      <c r="Q70" s="12"/>
      <c r="R70" s="12"/>
      <c r="S70" s="12"/>
    </row>
    <row r="71" spans="1:19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>
        <v>12</v>
      </c>
      <c r="N71" s="12" t="str">
        <f>'4 Prendre son avance'!E5</f>
        <v>À faire</v>
      </c>
      <c r="O71" s="12">
        <f>IF(N71="Fait",999,12)</f>
        <v>12</v>
      </c>
      <c r="P71" s="12" t="s">
        <v>99</v>
      </c>
      <c r="Q71" s="12"/>
      <c r="R71" s="12"/>
      <c r="S71" s="12"/>
    </row>
    <row r="72" spans="1:19" x14ac:dyDescent="0.4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>
        <v>13</v>
      </c>
      <c r="N72" s="12" t="str">
        <f>'4 Prendre son avance'!E26</f>
        <v>À faire</v>
      </c>
      <c r="O72" s="12">
        <f>IF(N72="Fait",999,13)</f>
        <v>13</v>
      </c>
      <c r="P72" s="12" t="s">
        <v>100</v>
      </c>
      <c r="Q72" s="12"/>
      <c r="R72" s="12"/>
      <c r="S72" s="12"/>
    </row>
    <row r="73" spans="1:19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14</v>
      </c>
      <c r="N73" s="12" t="str">
        <f>'4 Prendre son avance'!E43</f>
        <v>À faire</v>
      </c>
      <c r="O73" s="12">
        <f>IF(N73="Fait",999,14)</f>
        <v>14</v>
      </c>
      <c r="P73" s="12" t="s">
        <v>101</v>
      </c>
      <c r="Q73" s="12"/>
      <c r="R73" s="12"/>
      <c r="S73" s="12"/>
    </row>
    <row r="74" spans="1:19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>
        <v>15</v>
      </c>
      <c r="N74" s="12" t="str">
        <f>'4 Prendre son avance'!E66</f>
        <v>À faire</v>
      </c>
      <c r="O74" s="12">
        <f>IF(N74="Fait",999,15)</f>
        <v>15</v>
      </c>
      <c r="P74" s="12" t="s">
        <v>102</v>
      </c>
      <c r="Q74" s="12"/>
      <c r="R74" s="12"/>
      <c r="S74" s="12"/>
    </row>
    <row r="75" spans="1:19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 x14ac:dyDescent="0.4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 x14ac:dyDescent="0.4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 x14ac:dyDescent="0.4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:19" x14ac:dyDescent="0.4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:19" x14ac:dyDescent="0.4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:19" x14ac:dyDescent="0.4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:19" x14ac:dyDescent="0.4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:19" x14ac:dyDescent="0.4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 x14ac:dyDescent="0.4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 x14ac:dyDescent="0.4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 x14ac:dyDescent="0.4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:19" x14ac:dyDescent="0.4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 x14ac:dyDescent="0.4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1:19" x14ac:dyDescent="0.4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 t="str">
        <f>IF(OR('2 Se situer'!B80="",'2 Se situer'!B81=""),"","Vos heures penchent vers "&amp;LOWER('2 Se situer'!B80)&amp;", et vous vous tenez en "&amp;IF(LEFT('2 Se situer'!B81,1)="S","spectateur",IF(LEFT('2 Se situer'!B81,1)="A","adaptateur","stratège"))&amp;". Sur la carte, cela vous place sur "&amp;'2 Se situer'!B82&amp;". ")</f>
        <v/>
      </c>
      <c r="N90" s="12"/>
      <c r="O90" s="12"/>
      <c r="P90" s="12"/>
      <c r="Q90" s="12"/>
      <c r="R90" s="12"/>
      <c r="S90" s="12"/>
    </row>
    <row r="91" spans="1:19" x14ac:dyDescent="0.4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 t="str">
        <f>IF('2 Se situer'!B102="","","Votre terrain"&amp;IF(IF(TRIM('2 Se situer'!B98)=TRIM('2 Se situer'!Q98),"",'2 Se situer'!B98)=""," ",", "&amp;IF(TRIM('2 Se situer'!B98)=TRIM('2 Se situer'!Q98),"",'2 Se situer'!B98)&amp;", ")&amp;IF('2 Se situer'!B102="Porteur","est porteur : il ne va nulle part, vos tâches si. ",IF('2 Se situer'!B102="Qui se polarise","se polarise : le milieu se vide, les deux bouts tiennent. ","s’affaisse : être le meilleur d’un terrain qui s’enfonce, c’est perdre avec talent. ")))</f>
        <v/>
      </c>
      <c r="N91" s="12"/>
      <c r="O91" s="12"/>
      <c r="P91" s="12"/>
      <c r="Q91" s="12"/>
      <c r="R91" s="12"/>
      <c r="S91" s="12"/>
    </row>
    <row r="92" spans="1:19" x14ac:dyDescent="0.4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 t="str">
        <f>IF('2 Se situer'!B25+'2 Se situer'!B27=0,"","Dans le détail, "&amp;'2 Se situer'!B25&amp;" de vos tâches vont se banaliser et "&amp;'2 Se situer'!B27&amp;" resteront rares : c’est là-dessus que se joue votre valeur, pas sur votre intitulé. ")</f>
        <v/>
      </c>
      <c r="N92" s="12"/>
      <c r="O92" s="12"/>
      <c r="P92" s="12"/>
      <c r="Q92" s="12"/>
      <c r="R92" s="12"/>
      <c r="S92" s="12"/>
    </row>
    <row r="93" spans="1:19" x14ac:dyDescent="0.4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 t="str">
        <f>IF('2 Se situer'!B104="","",IF(LEFT('2 Se situer'!B104,2)="À ","",IF('2 Se situer'!B104="Monter sur place",M100,IF('2 Se situer'!B104="Bouger vite, sur place",M101,IF('2 Se situer'!B104="Changer de terrain",M102,IF('2 Se situer'!B104="Commencer par la preuve",M103,M104))))))</f>
        <v/>
      </c>
      <c r="N93" s="12"/>
      <c r="O93" s="12"/>
      <c r="P93" s="12"/>
      <c r="Q93" s="12"/>
      <c r="R93" s="12"/>
      <c r="S93" s="12"/>
    </row>
    <row r="94" spans="1:19" x14ac:dyDescent="0.4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 t="str">
        <f>IF(MIN('Mes 90 jours'!Z2,12)&gt;=6,"","Et rien de tout cela ne tiendra sans le quart d’heure du stratège : quinze minutes par semaine, un rendez-vous fixe, non négociable. C’est le gouvernail. ")</f>
        <v xml:space="preserve">Et rien de tout cela ne tiendra sans le quart d’heure du stratège : quinze minutes par semaine, un rendez-vous fixe, non négociable. C’est le gouvernail. </v>
      </c>
      <c r="N94" s="12"/>
      <c r="O94" s="12"/>
      <c r="P94" s="12"/>
      <c r="Q94" s="12"/>
      <c r="R94" s="12"/>
      <c r="S94" s="12"/>
    </row>
    <row r="95" spans="1:19" x14ac:dyDescent="0.4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 t="str">
        <f>"Commencez maintenant par : "&amp;A5</f>
        <v>Commencez maintenant par : Chapitre 1 — écrivez la question qui vous occupe, puis reformulez-la jusqu’à en être le sujet. Dix minutes, ce soir.</v>
      </c>
      <c r="N95" s="12"/>
      <c r="O95" s="12"/>
      <c r="P95" s="12"/>
      <c r="Q95" s="12"/>
      <c r="R95" s="12"/>
      <c r="S95" s="12"/>
    </row>
    <row r="96" spans="1:19" x14ac:dyDescent="0.4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 t="str">
        <f>IF(O74&lt;999,"Commencez par : "&amp;M95,"")</f>
        <v>Commencez par : Commencez maintenant par : Chapitre 1 — écrivez la question qui vous occupe, puis reformulez-la jusqu’à en être le sujet. Dix minutes, ce soir.</v>
      </c>
      <c r="N96" s="12"/>
      <c r="O96" s="12"/>
      <c r="P96" s="12"/>
      <c r="Q96" s="12"/>
      <c r="R96" s="12"/>
      <c r="S96" s="12"/>
    </row>
    <row r="97" spans="1:19" x14ac:dyDescent="0.4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 t="s">
        <v>103</v>
      </c>
      <c r="N97" s="12"/>
      <c r="O97" s="12"/>
      <c r="P97" s="12"/>
      <c r="Q97" s="12"/>
      <c r="R97" s="12"/>
      <c r="S97" s="12"/>
    </row>
    <row r="98" spans="1:19" x14ac:dyDescent="0.4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:19" x14ac:dyDescent="0.4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:19" x14ac:dyDescent="0.4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 t="s">
        <v>104</v>
      </c>
      <c r="N100" s="12"/>
      <c r="O100" s="12"/>
      <c r="P100" s="12"/>
      <c r="Q100" s="12"/>
      <c r="R100" s="12"/>
      <c r="S100" s="12"/>
    </row>
    <row r="101" spans="1:19" x14ac:dyDescent="0.4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 t="s">
        <v>105</v>
      </c>
      <c r="N101" s="12"/>
      <c r="O101" s="12"/>
      <c r="P101" s="12"/>
      <c r="Q101" s="12"/>
      <c r="R101" s="12"/>
      <c r="S101" s="12"/>
    </row>
    <row r="102" spans="1:19" x14ac:dyDescent="0.4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 t="s">
        <v>106</v>
      </c>
      <c r="N102" s="12"/>
      <c r="O102" s="12"/>
      <c r="P102" s="12"/>
      <c r="Q102" s="12"/>
      <c r="R102" s="12"/>
      <c r="S102" s="12"/>
    </row>
    <row r="103" spans="1:19" x14ac:dyDescent="0.4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 t="s">
        <v>107</v>
      </c>
      <c r="N103" s="12"/>
      <c r="O103" s="12"/>
      <c r="P103" s="12"/>
      <c r="Q103" s="12"/>
      <c r="R103" s="12"/>
      <c r="S103" s="12"/>
    </row>
    <row r="104" spans="1:19" x14ac:dyDescent="0.4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 t="s">
        <v>108</v>
      </c>
      <c r="N104" s="12"/>
      <c r="O104" s="12"/>
      <c r="P104" s="12"/>
      <c r="Q104" s="12"/>
      <c r="R104" s="12"/>
      <c r="S104" s="12"/>
    </row>
    <row r="105" spans="1:19" x14ac:dyDescent="0.4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:19" x14ac:dyDescent="0.4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:19" x14ac:dyDescent="0.4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:19" x14ac:dyDescent="0.4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19" x14ac:dyDescent="0.4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19" x14ac:dyDescent="0.4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19" x14ac:dyDescent="0.4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 x14ac:dyDescent="0.4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1:19" x14ac:dyDescent="0.4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:19" x14ac:dyDescent="0.4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19" x14ac:dyDescent="0.4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:19" x14ac:dyDescent="0.4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</sheetData>
  <mergeCells count="40">
    <mergeCell ref="B15:F15"/>
    <mergeCell ref="A1:F1"/>
    <mergeCell ref="E41:F41"/>
    <mergeCell ref="B28:E28"/>
    <mergeCell ref="A7:F7"/>
    <mergeCell ref="B19:F19"/>
    <mergeCell ref="E45:F45"/>
    <mergeCell ref="A34:F34"/>
    <mergeCell ref="B17:E17"/>
    <mergeCell ref="B23:E23"/>
    <mergeCell ref="C38:D38"/>
    <mergeCell ref="A2:F2"/>
    <mergeCell ref="B26:E26"/>
    <mergeCell ref="A47:F47"/>
    <mergeCell ref="E38:F38"/>
    <mergeCell ref="A14:F14"/>
    <mergeCell ref="A5:F5"/>
    <mergeCell ref="B16:E16"/>
    <mergeCell ref="A35:F35"/>
    <mergeCell ref="A4:F4"/>
    <mergeCell ref="B8:F8"/>
    <mergeCell ref="E40:F40"/>
    <mergeCell ref="B22:E22"/>
    <mergeCell ref="B31:E31"/>
    <mergeCell ref="B18:E18"/>
    <mergeCell ref="B27:E27"/>
    <mergeCell ref="B29:F29"/>
    <mergeCell ref="B24:E24"/>
    <mergeCell ref="B20:E20"/>
    <mergeCell ref="E39:F39"/>
    <mergeCell ref="E44:F44"/>
    <mergeCell ref="B32:E32"/>
    <mergeCell ref="B21:E21"/>
    <mergeCell ref="E43:F43"/>
    <mergeCell ref="A54:F54"/>
    <mergeCell ref="B25:F25"/>
    <mergeCell ref="A37:F37"/>
    <mergeCell ref="B30:E30"/>
    <mergeCell ref="E42:F42"/>
    <mergeCell ref="A52:F52"/>
  </mergeCells>
  <conditionalFormatting sqref="B16:B18">
    <cfRule type="expression" dxfId="136" priority="2" stopIfTrue="1">
      <formula>$B16=""</formula>
    </cfRule>
  </conditionalFormatting>
  <conditionalFormatting sqref="B20:B24">
    <cfRule type="expression" dxfId="135" priority="5" stopIfTrue="1">
      <formula>$B20=""</formula>
    </cfRule>
  </conditionalFormatting>
  <conditionalFormatting sqref="B26:B28">
    <cfRule type="expression" dxfId="134" priority="10" stopIfTrue="1">
      <formula>$B26=""</formula>
    </cfRule>
  </conditionalFormatting>
  <conditionalFormatting sqref="B30:B32">
    <cfRule type="expression" dxfId="133" priority="13" stopIfTrue="1">
      <formula>$B30=""</formula>
    </cfRule>
  </conditionalFormatting>
  <conditionalFormatting sqref="B39:B45">
    <cfRule type="cellIs" dxfId="132" priority="16" operator="greaterThanOrEqual">
      <formula>70</formula>
    </cfRule>
    <cfRule type="cellIs" dxfId="131" priority="17" operator="between">
      <formula>40</formula>
      <formula>69.99</formula>
    </cfRule>
    <cfRule type="cellIs" dxfId="130" priority="18" operator="lessThan">
      <formula>40</formula>
    </cfRule>
  </conditionalFormatting>
  <conditionalFormatting sqref="B8:F8">
    <cfRule type="dataBar" priority="1">
      <dataBar>
        <cfvo type="num" val="0"/>
        <cfvo type="num" val="1"/>
        <color rgb="FF27AE60"/>
      </dataBar>
    </cfRule>
  </conditionalFormatting>
  <conditionalFormatting sqref="C9">
    <cfRule type="dataBar" priority="19">
      <dataBar>
        <cfvo type="num" val="0"/>
        <cfvo type="num" val="1"/>
        <color rgb="FF27AE60"/>
      </dataBar>
    </cfRule>
  </conditionalFormatting>
  <conditionalFormatting sqref="C10">
    <cfRule type="dataBar" priority="20">
      <dataBar>
        <cfvo type="num" val="0"/>
        <cfvo type="num" val="1"/>
        <color rgb="FF27AE60"/>
      </dataBar>
    </cfRule>
  </conditionalFormatting>
  <conditionalFormatting sqref="C11">
    <cfRule type="dataBar" priority="21">
      <dataBar>
        <cfvo type="num" val="0"/>
        <cfvo type="num" val="1"/>
        <color rgb="FF27AE60"/>
      </dataBar>
    </cfRule>
  </conditionalFormatting>
  <conditionalFormatting sqref="C12">
    <cfRule type="dataBar" priority="22">
      <dataBar>
        <cfvo type="num" val="0"/>
        <cfvo type="num" val="1"/>
        <color rgb="FF27AE60"/>
      </dataBar>
    </cfRule>
  </conditionalFormatting>
  <conditionalFormatting sqref="C48">
    <cfRule type="dataBar" priority="23">
      <dataBar>
        <cfvo type="num" val="0"/>
        <cfvo type="num" val="1"/>
        <color rgb="FF27AE60"/>
      </dataBar>
    </cfRule>
  </conditionalFormatting>
  <conditionalFormatting sqref="C49">
    <cfRule type="dataBar" priority="24">
      <dataBar>
        <cfvo type="num" val="0"/>
        <cfvo type="num" val="1"/>
        <color rgb="FF27AE60"/>
      </dataBar>
    </cfRule>
  </conditionalFormatting>
  <conditionalFormatting sqref="C50">
    <cfRule type="dataBar" priority="25">
      <dataBar>
        <cfvo type="num" val="0"/>
        <cfvo type="num" val="1"/>
        <color rgb="FF27AE60"/>
      </dataBar>
    </cfRule>
  </conditionalFormatting>
  <printOptions horizontalCentered="1"/>
  <pageMargins left="0.4" right="0.4" top="0.5" bottom="0.5" header="0.5" footer="0.5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A56DB"/>
    <outlinePr summaryBelow="0"/>
    <pageSetUpPr fitToPage="1"/>
  </sheetPr>
  <dimension ref="A1:AC80"/>
  <sheetViews>
    <sheetView showGridLines="0" workbookViewId="0">
      <pane ySplit="3" topLeftCell="A4" activePane="bottomLeft" state="frozen"/>
      <selection pane="bottomLeft" activeCell="J29" sqref="J29"/>
    </sheetView>
  </sheetViews>
  <sheetFormatPr baseColWidth="10" defaultColWidth="9.06640625" defaultRowHeight="14.25" outlineLevelRow="1" x14ac:dyDescent="0.45"/>
  <cols>
    <col min="1" max="1" width="42" customWidth="1"/>
    <col min="2" max="2" width="38" customWidth="1"/>
    <col min="3" max="3" width="24" customWidth="1"/>
    <col min="4" max="4" width="16" customWidth="1"/>
    <col min="5" max="5" width="8" customWidth="1"/>
    <col min="17" max="17" width="13" hidden="1" customWidth="1"/>
    <col min="24" max="26" width="6" hidden="1" customWidth="1"/>
    <col min="27" max="27" width="13" hidden="1" customWidth="1"/>
  </cols>
  <sheetData>
    <row r="1" spans="1:29" ht="30" customHeight="1" x14ac:dyDescent="0.45">
      <c r="A1" s="72" t="s">
        <v>109</v>
      </c>
      <c r="B1" s="47"/>
      <c r="C1" s="47"/>
      <c r="D1" s="47"/>
      <c r="E1" s="47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>
        <v>3</v>
      </c>
      <c r="AA1" s="12"/>
      <c r="AB1" s="12"/>
      <c r="AC1" s="12"/>
    </row>
    <row r="2" spans="1:29" ht="16.05" customHeight="1" x14ac:dyDescent="0.45">
      <c r="A2" s="57" t="s">
        <v>110</v>
      </c>
      <c r="B2" s="47"/>
      <c r="C2" s="47"/>
      <c r="D2" s="47"/>
      <c r="E2" s="47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>
        <f>Z5+Z27+Z51</f>
        <v>0</v>
      </c>
      <c r="AA2" s="12"/>
      <c r="AB2" s="12"/>
      <c r="AC2" s="12"/>
    </row>
    <row r="3" spans="1:29" ht="22.05" customHeight="1" x14ac:dyDescent="0.45">
      <c r="A3" s="26" t="str">
        <f>"Votre avancée : "&amp;Z2&amp;" geste"&amp;IF(Z2&gt;1,"s","")&amp;" sur "&amp;Z1</f>
        <v>Votre avancée : 0 geste sur 3</v>
      </c>
      <c r="B3" s="74">
        <f>IF(Z1=0,0,Z2/Z1)</f>
        <v>0</v>
      </c>
      <c r="C3" s="47"/>
      <c r="D3" s="47"/>
      <c r="E3" s="47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x14ac:dyDescent="0.4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26" customHeight="1" x14ac:dyDescent="0.45">
      <c r="A5" s="51" t="s">
        <v>111</v>
      </c>
      <c r="B5" s="66"/>
      <c r="C5" s="66"/>
      <c r="D5" s="66"/>
      <c r="E5" s="27" t="str">
        <f>IF(Y5=0,"",IF(X5=0,"À faire",IF(X5&lt;Y5,"En cours","Fait")))</f>
        <v>À faire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>
        <f>--(TRIM(B10)&lt;&gt;TRIM(Q10))+--(TRIM(B11)&lt;&gt;TRIM(Q11))+--(TRIM(B12)&lt;&gt;TRIM(Q12))</f>
        <v>0</v>
      </c>
      <c r="Y5" s="12">
        <v>3</v>
      </c>
      <c r="Z5" s="12">
        <f>IF(E5="Fait",1,0)</f>
        <v>0</v>
      </c>
      <c r="AA5" s="12"/>
      <c r="AB5" s="12"/>
      <c r="AC5" s="12"/>
    </row>
    <row r="6" spans="1:29" ht="45" customHeight="1" x14ac:dyDescent="0.45">
      <c r="A6" s="28" t="s">
        <v>112</v>
      </c>
      <c r="B6" s="71" t="s">
        <v>113</v>
      </c>
      <c r="C6" s="47"/>
      <c r="D6" s="47"/>
      <c r="E6" s="47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8.05" customHeight="1" x14ac:dyDescent="0.45">
      <c r="A7" s="28" t="s">
        <v>114</v>
      </c>
      <c r="B7" s="73" t="s">
        <v>115</v>
      </c>
      <c r="C7" s="47"/>
      <c r="D7" s="47"/>
      <c r="E7" s="47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x14ac:dyDescent="0.4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16.05" customHeight="1" x14ac:dyDescent="0.45">
      <c r="A9" s="75" t="s">
        <v>116</v>
      </c>
      <c r="B9" s="47"/>
      <c r="C9" s="47"/>
      <c r="D9" s="47"/>
      <c r="E9" s="4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0" customHeight="1" x14ac:dyDescent="0.45">
      <c r="A10" s="29" t="s">
        <v>117</v>
      </c>
      <c r="B10" s="67" t="s">
        <v>118</v>
      </c>
      <c r="C10" s="68"/>
      <c r="D10" s="69"/>
      <c r="E10" s="31" t="str">
        <f>IF(AND(B10&lt;&gt;"",B10&lt;&gt;Q10),"✔","")</f>
        <v/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 t="s">
        <v>118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20" customHeight="1" x14ac:dyDescent="0.45">
      <c r="A11" s="29" t="s">
        <v>119</v>
      </c>
      <c r="B11" s="67" t="s">
        <v>120</v>
      </c>
      <c r="C11" s="68"/>
      <c r="D11" s="69"/>
      <c r="E11" s="31" t="str">
        <f>IF(AND(B11&lt;&gt;"",B11&lt;&gt;Q11),"✔","")</f>
        <v/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 t="s">
        <v>120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20" customHeight="1" x14ac:dyDescent="0.45">
      <c r="A12" s="29" t="s">
        <v>121</v>
      </c>
      <c r="B12" s="67" t="s">
        <v>122</v>
      </c>
      <c r="C12" s="68"/>
      <c r="D12" s="69"/>
      <c r="E12" s="31" t="str">
        <f>IF(AND(B12&lt;&gt;"",B12&lt;&gt;Q12),"✔","")</f>
        <v/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 t="s">
        <v>122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ht="16.05" customHeight="1" x14ac:dyDescent="0.45">
      <c r="A13" s="48" t="s">
        <v>123</v>
      </c>
      <c r="B13" s="47"/>
      <c r="C13" s="47"/>
      <c r="D13" s="47"/>
      <c r="E13" s="47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x14ac:dyDescent="0.4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ht="18" customHeight="1" collapsed="1" x14ac:dyDescent="0.45">
      <c r="A15" s="70" t="s">
        <v>124</v>
      </c>
      <c r="B15" s="47"/>
      <c r="C15" s="47"/>
      <c r="D15" s="47"/>
      <c r="E15" s="47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26" hidden="1" customHeight="1" outlineLevel="1" x14ac:dyDescent="0.45">
      <c r="A16" s="48" t="s">
        <v>125</v>
      </c>
      <c r="B16" s="47"/>
      <c r="C16" s="47"/>
      <c r="D16" s="47"/>
      <c r="E16" s="47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ht="30" hidden="1" customHeight="1" outlineLevel="1" x14ac:dyDescent="0.45">
      <c r="A17" s="32" t="s">
        <v>126</v>
      </c>
      <c r="B17" s="32" t="s">
        <v>127</v>
      </c>
      <c r="C17" s="32" t="s">
        <v>128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ht="19.05" hidden="1" customHeight="1" outlineLevel="1" x14ac:dyDescent="0.45">
      <c r="A18" s="1"/>
      <c r="B18" s="1"/>
      <c r="C18" s="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ht="19.05" hidden="1" customHeight="1" outlineLevel="1" x14ac:dyDescent="0.45">
      <c r="A19" s="1"/>
      <c r="B19" s="1"/>
      <c r="C19" s="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ht="19.05" hidden="1" customHeight="1" outlineLevel="1" x14ac:dyDescent="0.45">
      <c r="A20" s="1"/>
      <c r="B20" s="1"/>
      <c r="C20" s="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ht="19.05" hidden="1" customHeight="1" outlineLevel="1" x14ac:dyDescent="0.45">
      <c r="A21" s="1"/>
      <c r="B21" s="1"/>
      <c r="C21" s="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19.05" hidden="1" customHeight="1" outlineLevel="1" x14ac:dyDescent="0.45">
      <c r="A22" s="1"/>
      <c r="B22" s="1"/>
      <c r="C22" s="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9.05" hidden="1" customHeight="1" outlineLevel="1" x14ac:dyDescent="0.45">
      <c r="A23" s="1"/>
      <c r="B23" s="1"/>
      <c r="C23" s="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ht="19.05" hidden="1" customHeight="1" outlineLevel="1" x14ac:dyDescent="0.45">
      <c r="A24" s="1"/>
      <c r="B24" s="1"/>
      <c r="C24" s="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x14ac:dyDescent="0.4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x14ac:dyDescent="0.4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 ht="26" customHeight="1" x14ac:dyDescent="0.45">
      <c r="A27" s="51" t="s">
        <v>129</v>
      </c>
      <c r="B27" s="66"/>
      <c r="C27" s="66"/>
      <c r="D27" s="66"/>
      <c r="E27" s="27" t="str">
        <f>IF(Y27=0,"",IF(X27=0,"À faire",IF(X27&lt;Y27,"En cours","Fait")))</f>
        <v>À faire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>
        <f>--(TRIM(B32)&lt;&gt;TRIM(Q32))+--(TRIM(B33)&lt;&gt;TRIM(Q33))+--(TRIM(B34)&lt;&gt;TRIM(Q34))</f>
        <v>0</v>
      </c>
      <c r="Y27" s="12">
        <v>3</v>
      </c>
      <c r="Z27" s="12">
        <f>IF(E27="Fait",1,0)</f>
        <v>0</v>
      </c>
      <c r="AA27" s="12"/>
      <c r="AB27" s="12"/>
      <c r="AC27" s="12"/>
    </row>
    <row r="28" spans="1:29" ht="30" customHeight="1" x14ac:dyDescent="0.45">
      <c r="A28" s="28" t="s">
        <v>112</v>
      </c>
      <c r="B28" s="71" t="s">
        <v>130</v>
      </c>
      <c r="C28" s="47"/>
      <c r="D28" s="47"/>
      <c r="E28" s="47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ht="28.05" customHeight="1" x14ac:dyDescent="0.45">
      <c r="A29" s="28" t="s">
        <v>114</v>
      </c>
      <c r="B29" s="73" t="s">
        <v>131</v>
      </c>
      <c r="C29" s="47"/>
      <c r="D29" s="47"/>
      <c r="E29" s="47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 x14ac:dyDescent="0.4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ht="16.05" customHeight="1" x14ac:dyDescent="0.45">
      <c r="A31" s="75" t="s">
        <v>116</v>
      </c>
      <c r="B31" s="47"/>
      <c r="C31" s="47"/>
      <c r="D31" s="47"/>
      <c r="E31" s="47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 ht="20" customHeight="1" x14ac:dyDescent="0.45">
      <c r="A32" s="29" t="s">
        <v>132</v>
      </c>
      <c r="B32" s="67" t="s">
        <v>133</v>
      </c>
      <c r="C32" s="68"/>
      <c r="D32" s="69"/>
      <c r="E32" s="31" t="str">
        <f>IF(AND(B32&lt;&gt;"",B32&lt;&gt;Q32),"✔","")</f>
        <v/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 t="s">
        <v>133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ht="20" customHeight="1" x14ac:dyDescent="0.45">
      <c r="A33" s="29" t="s">
        <v>134</v>
      </c>
      <c r="B33" s="67"/>
      <c r="C33" s="68"/>
      <c r="D33" s="69"/>
      <c r="E33" s="31" t="str">
        <f>IF(AND(B33&lt;&gt;"",B33&lt;&gt;Q33),"✔","")</f>
        <v/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ht="20" customHeight="1" x14ac:dyDescent="0.45">
      <c r="A34" s="29" t="s">
        <v>135</v>
      </c>
      <c r="B34" s="67" t="s">
        <v>136</v>
      </c>
      <c r="C34" s="68"/>
      <c r="D34" s="69"/>
      <c r="E34" s="31" t="str">
        <f>IF(AND(B34&lt;&gt;"",B34&lt;&gt;Q34),"✔","")</f>
        <v/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 t="s">
        <v>136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ht="26" customHeight="1" x14ac:dyDescent="0.45">
      <c r="A35" s="48" t="s">
        <v>137</v>
      </c>
      <c r="B35" s="47"/>
      <c r="C35" s="47"/>
      <c r="D35" s="47"/>
      <c r="E35" s="47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x14ac:dyDescent="0.4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ht="18" customHeight="1" collapsed="1" x14ac:dyDescent="0.45">
      <c r="A37" s="70" t="s">
        <v>138</v>
      </c>
      <c r="B37" s="47"/>
      <c r="C37" s="47"/>
      <c r="D37" s="47"/>
      <c r="E37" s="47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ht="16.05" hidden="1" customHeight="1" outlineLevel="1" x14ac:dyDescent="0.45">
      <c r="A38" s="48" t="s">
        <v>139</v>
      </c>
      <c r="B38" s="47"/>
      <c r="C38" s="47"/>
      <c r="D38" s="47"/>
      <c r="E38" s="4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ht="30" hidden="1" customHeight="1" outlineLevel="1" x14ac:dyDescent="0.45">
      <c r="A39" s="32" t="s">
        <v>140</v>
      </c>
      <c r="B39" s="32" t="s">
        <v>141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ht="19.05" hidden="1" customHeight="1" outlineLevel="1" x14ac:dyDescent="0.45">
      <c r="A40" s="1"/>
      <c r="B40" s="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29" ht="19.05" hidden="1" customHeight="1" outlineLevel="1" x14ac:dyDescent="0.45">
      <c r="A41" s="1"/>
      <c r="B41" s="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 ht="19.05" hidden="1" customHeight="1" outlineLevel="1" x14ac:dyDescent="0.45">
      <c r="A42" s="1"/>
      <c r="B42" s="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ht="19.05" hidden="1" customHeight="1" outlineLevel="1" x14ac:dyDescent="0.45">
      <c r="A43" s="1"/>
      <c r="B43" s="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ht="19.05" hidden="1" customHeight="1" outlineLevel="1" x14ac:dyDescent="0.45">
      <c r="A44" s="1"/>
      <c r="B44" s="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ht="19.05" hidden="1" customHeight="1" outlineLevel="1" x14ac:dyDescent="0.45">
      <c r="A45" s="1"/>
      <c r="B45" s="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ht="20" hidden="1" customHeight="1" outlineLevel="1" x14ac:dyDescent="0.45">
      <c r="A46" s="29" t="s">
        <v>142</v>
      </c>
      <c r="B46" s="67" t="s">
        <v>143</v>
      </c>
      <c r="C46" s="68"/>
      <c r="D46" s="69"/>
      <c r="E46" s="31" t="str">
        <f>IF(AND(B46&lt;&gt;"",B46&lt;&gt;Q46),"✔","")</f>
        <v/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 t="s">
        <v>143</v>
      </c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ht="28.05" hidden="1" customHeight="1" outlineLevel="1" x14ac:dyDescent="0.45">
      <c r="A47" s="29" t="s">
        <v>144</v>
      </c>
      <c r="B47" s="67"/>
      <c r="C47" s="68"/>
      <c r="D47" s="69"/>
      <c r="E47" s="31" t="str">
        <f>IF(AND(B47&lt;&gt;"",B47&lt;&gt;Q47),"✔","")</f>
        <v/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ht="28.05" hidden="1" customHeight="1" outlineLevel="1" x14ac:dyDescent="0.45">
      <c r="A48" s="29" t="s">
        <v>145</v>
      </c>
      <c r="B48" s="67" t="s">
        <v>146</v>
      </c>
      <c r="C48" s="68"/>
      <c r="D48" s="69"/>
      <c r="E48" s="31" t="str">
        <f>IF(AND(B48&lt;&gt;"",B48&lt;&gt;Q48),"✔","")</f>
        <v/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 t="s">
        <v>146</v>
      </c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x14ac:dyDescent="0.4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x14ac:dyDescent="0.4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ht="26" customHeight="1" x14ac:dyDescent="0.45">
      <c r="A51" s="51" t="s">
        <v>147</v>
      </c>
      <c r="B51" s="66"/>
      <c r="C51" s="66"/>
      <c r="D51" s="66"/>
      <c r="E51" s="27" t="str">
        <f>IF(Y51=0,"",IF(X51=0,"À faire",IF(X51&lt;Y51,"En cours","Fait")))</f>
        <v>À faire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>
        <f>COUNTA(A57:A59)+SUMPRODUCT(--(TRIM(B57:B59)&lt;&gt;TRIM(Q57:Q59)))</f>
        <v>0</v>
      </c>
      <c r="Y51" s="12">
        <v>6</v>
      </c>
      <c r="Z51" s="12">
        <f>IF(E51="Fait",1,0)</f>
        <v>0</v>
      </c>
      <c r="AA51" s="12"/>
      <c r="AB51" s="12"/>
      <c r="AC51" s="12"/>
    </row>
    <row r="52" spans="1:29" ht="30" customHeight="1" x14ac:dyDescent="0.45">
      <c r="A52" s="28" t="s">
        <v>112</v>
      </c>
      <c r="B52" s="71" t="s">
        <v>148</v>
      </c>
      <c r="C52" s="47"/>
      <c r="D52" s="47"/>
      <c r="E52" s="47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ht="30" customHeight="1" x14ac:dyDescent="0.45">
      <c r="A53" s="28" t="s">
        <v>114</v>
      </c>
      <c r="B53" s="73" t="s">
        <v>149</v>
      </c>
      <c r="C53" s="47"/>
      <c r="D53" s="47"/>
      <c r="E53" s="47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x14ac:dyDescent="0.4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ht="16.05" customHeight="1" x14ac:dyDescent="0.45">
      <c r="A55" s="75" t="s">
        <v>116</v>
      </c>
      <c r="B55" s="47"/>
      <c r="C55" s="47"/>
      <c r="D55" s="47"/>
      <c r="E55" s="47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ht="30" customHeight="1" x14ac:dyDescent="0.45">
      <c r="A56" s="32" t="s">
        <v>150</v>
      </c>
      <c r="B56" s="32" t="s">
        <v>151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spans="1:29" ht="19.05" customHeight="1" x14ac:dyDescent="0.45">
      <c r="A57" s="1"/>
      <c r="B57" s="1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spans="1:29" ht="19.05" customHeight="1" x14ac:dyDescent="0.45">
      <c r="A58" s="1"/>
      <c r="B58" s="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spans="1:29" ht="19.05" customHeight="1" x14ac:dyDescent="0.45">
      <c r="A59" s="1"/>
      <c r="B59" s="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spans="1:29" ht="16.05" customHeight="1" x14ac:dyDescent="0.45">
      <c r="A60" s="48" t="s">
        <v>152</v>
      </c>
      <c r="B60" s="47"/>
      <c r="C60" s="47"/>
      <c r="D60" s="47"/>
      <c r="E60" s="47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spans="1:29" x14ac:dyDescent="0.4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spans="1:29" ht="18" customHeight="1" collapsed="1" x14ac:dyDescent="0.45">
      <c r="A62" s="70" t="s">
        <v>153</v>
      </c>
      <c r="B62" s="47"/>
      <c r="C62" s="47"/>
      <c r="D62" s="47"/>
      <c r="E62" s="47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spans="1:29" ht="26" hidden="1" customHeight="1" outlineLevel="1" x14ac:dyDescent="0.45">
      <c r="A63" s="48" t="s">
        <v>154</v>
      </c>
      <c r="B63" s="47"/>
      <c r="C63" s="47"/>
      <c r="D63" s="47"/>
      <c r="E63" s="47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spans="1:29" ht="20" hidden="1" customHeight="1" outlineLevel="1" x14ac:dyDescent="0.45">
      <c r="A64" s="29" t="s">
        <v>155</v>
      </c>
      <c r="B64" s="67" t="s">
        <v>156</v>
      </c>
      <c r="C64" s="68"/>
      <c r="D64" s="69"/>
      <c r="E64" s="31" t="str">
        <f>IF(AND(B64&lt;&gt;"",B64&lt;&gt;Q64),"✔","")</f>
        <v/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 t="s">
        <v>156</v>
      </c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spans="1:29" ht="20" hidden="1" customHeight="1" outlineLevel="1" x14ac:dyDescent="0.45">
      <c r="A65" s="29" t="s">
        <v>157</v>
      </c>
      <c r="B65" s="67" t="s">
        <v>158</v>
      </c>
      <c r="C65" s="68"/>
      <c r="D65" s="69"/>
      <c r="E65" s="31" t="str">
        <f>IF(AND(B65&lt;&gt;"",B65&lt;&gt;Q65),"✔","")</f>
        <v/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 t="s">
        <v>158</v>
      </c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spans="1:29" x14ac:dyDescent="0.4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spans="1:29" x14ac:dyDescent="0.4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spans="1:29" ht="30" customHeight="1" x14ac:dyDescent="0.45">
      <c r="A68" s="76" t="str">
        <f>IF(MIN(Z2,Z1)&gt;=Z1,"✅  MOUVEMENT TERMINÉ  —  Vous voyez ce qui bouge dans vos journées avant qu’on vous l’annonce. C’est le seul avantage qui ne se rattrape jamais.","Il vous reste "&amp;(Z1-MIN(Z2,Z1))&amp;" geste"&amp;IF(Z1-MIN(Z2,Z1)&gt;1,"s","")&amp;" pour débloquer ce que ce mouvement vous apporte.")</f>
        <v>Il vous reste 3 gestes pour débloquer ce que ce mouvement vous apporte.</v>
      </c>
      <c r="B68" s="77"/>
      <c r="C68" s="77"/>
      <c r="D68" s="77"/>
      <c r="E68" s="78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 spans="1:29" x14ac:dyDescent="0.4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spans="1:29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spans="1:29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spans="1:29" x14ac:dyDescent="0.4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spans="1:29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spans="1:29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 spans="1:29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 spans="1:29" x14ac:dyDescent="0.4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 spans="1:29" x14ac:dyDescent="0.4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 spans="1:29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 spans="1:29" x14ac:dyDescent="0.4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 spans="1:29" x14ac:dyDescent="0.4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</sheetData>
  <mergeCells count="36">
    <mergeCell ref="A68:E68"/>
    <mergeCell ref="A63:E63"/>
    <mergeCell ref="B29:E29"/>
    <mergeCell ref="A13:E13"/>
    <mergeCell ref="A31:E31"/>
    <mergeCell ref="B28:E28"/>
    <mergeCell ref="B48:D48"/>
    <mergeCell ref="B65:D65"/>
    <mergeCell ref="A51:D51"/>
    <mergeCell ref="B64:D64"/>
    <mergeCell ref="B33:D33"/>
    <mergeCell ref="A55:E55"/>
    <mergeCell ref="B52:E52"/>
    <mergeCell ref="B47:D47"/>
    <mergeCell ref="A35:E35"/>
    <mergeCell ref="A62:E62"/>
    <mergeCell ref="A38:E38"/>
    <mergeCell ref="B53:E53"/>
    <mergeCell ref="B46:D46"/>
    <mergeCell ref="A1:E1"/>
    <mergeCell ref="B34:D34"/>
    <mergeCell ref="B10:D10"/>
    <mergeCell ref="A16:E16"/>
    <mergeCell ref="B7:E7"/>
    <mergeCell ref="B3:E3"/>
    <mergeCell ref="A2:E2"/>
    <mergeCell ref="B32:D32"/>
    <mergeCell ref="A27:D27"/>
    <mergeCell ref="B12:D12"/>
    <mergeCell ref="A9:E9"/>
    <mergeCell ref="A5:D5"/>
    <mergeCell ref="B11:D11"/>
    <mergeCell ref="A15:E15"/>
    <mergeCell ref="A60:E60"/>
    <mergeCell ref="B6:E6"/>
    <mergeCell ref="A37:E37"/>
  </mergeCells>
  <conditionalFormatting sqref="A40:B45">
    <cfRule type="expression" dxfId="129" priority="18" stopIfTrue="1">
      <formula>AND($A40&lt;&gt;"",$A40=$Q40)</formula>
    </cfRule>
    <cfRule type="expression" dxfId="128" priority="19" stopIfTrue="1">
      <formula>$A40&lt;&gt;""</formula>
    </cfRule>
  </conditionalFormatting>
  <conditionalFormatting sqref="A57:B59">
    <cfRule type="expression" dxfId="127" priority="27" stopIfTrue="1">
      <formula>$A57&lt;&gt;""</formula>
    </cfRule>
    <cfRule type="expression" dxfId="126" priority="26" stopIfTrue="1">
      <formula>AND($A57&lt;&gt;"",$A57=$Q57)</formula>
    </cfRule>
  </conditionalFormatting>
  <conditionalFormatting sqref="A18:C24">
    <cfRule type="expression" dxfId="125" priority="10" stopIfTrue="1">
      <formula>AND($A18&lt;&gt;"",$A18=$Q18)</formula>
    </cfRule>
    <cfRule type="expression" dxfId="124" priority="11" stopIfTrue="1">
      <formula>$A18&lt;&gt;""</formula>
    </cfRule>
  </conditionalFormatting>
  <conditionalFormatting sqref="A68:E68">
    <cfRule type="expression" dxfId="123" priority="2" stopIfTrue="1">
      <formula>MIN($Z$2,$Z$1)&gt;=$Z$1</formula>
    </cfRule>
    <cfRule type="expression" dxfId="122" priority="3" stopIfTrue="1">
      <formula>MIN($Z$2,$Z$1)&lt;$Z$1</formula>
    </cfRule>
  </conditionalFormatting>
  <conditionalFormatting sqref="B3:D3">
    <cfRule type="dataBar" priority="1">
      <dataBar>
        <cfvo type="num" val="0"/>
        <cfvo type="num" val="1"/>
        <color rgb="FF27AE60"/>
      </dataBar>
    </cfRule>
  </conditionalFormatting>
  <conditionalFormatting sqref="B10:E12">
    <cfRule type="expression" dxfId="121" priority="4" stopIfTrue="1">
      <formula>AND($B10&lt;&gt;"",$B10=$Q10)</formula>
    </cfRule>
    <cfRule type="expression" dxfId="120" priority="5" stopIfTrue="1">
      <formula>$B10&lt;&gt;""</formula>
    </cfRule>
  </conditionalFormatting>
  <conditionalFormatting sqref="B32:E34">
    <cfRule type="expression" dxfId="119" priority="12" stopIfTrue="1">
      <formula>AND($B32&lt;&gt;"",$B32=$Q32)</formula>
    </cfRule>
    <cfRule type="expression" dxfId="118" priority="13" stopIfTrue="1">
      <formula>$B32&lt;&gt;""</formula>
    </cfRule>
  </conditionalFormatting>
  <conditionalFormatting sqref="B46:E48">
    <cfRule type="expression" dxfId="117" priority="20" stopIfTrue="1">
      <formula>AND($B46&lt;&gt;"",$B46=$Q46)</formula>
    </cfRule>
    <cfRule type="expression" dxfId="116" priority="21" stopIfTrue="1">
      <formula>$B46&lt;&gt;""</formula>
    </cfRule>
  </conditionalFormatting>
  <conditionalFormatting sqref="B64:E65">
    <cfRule type="expression" dxfId="115" priority="28" stopIfTrue="1">
      <formula>AND($B64&lt;&gt;"",$B64=$Q64)</formula>
    </cfRule>
    <cfRule type="expression" dxfId="114" priority="29" stopIfTrue="1">
      <formula>$B64&lt;&gt;""</formula>
    </cfRule>
  </conditionalFormatting>
  <conditionalFormatting sqref="E5">
    <cfRule type="cellIs" dxfId="113" priority="32" operator="equal">
      <formula>"Fait"</formula>
    </cfRule>
    <cfRule type="cellIs" dxfId="112" priority="33" operator="equal">
      <formula>"En cours"</formula>
    </cfRule>
    <cfRule type="cellIs" dxfId="111" priority="34" operator="equal">
      <formula>"À faire"</formula>
    </cfRule>
  </conditionalFormatting>
  <conditionalFormatting sqref="E27">
    <cfRule type="cellIs" dxfId="110" priority="35" operator="equal">
      <formula>"Fait"</formula>
    </cfRule>
    <cfRule type="cellIs" dxfId="109" priority="36" operator="equal">
      <formula>"En cours"</formula>
    </cfRule>
    <cfRule type="cellIs" dxfId="108" priority="37" operator="equal">
      <formula>"À faire"</formula>
    </cfRule>
  </conditionalFormatting>
  <conditionalFormatting sqref="E51">
    <cfRule type="cellIs" dxfId="107" priority="38" operator="equal">
      <formula>"Fait"</formula>
    </cfRule>
    <cfRule type="cellIs" dxfId="106" priority="39" operator="equal">
      <formula>"En cours"</formula>
    </cfRule>
    <cfRule type="cellIs" dxfId="105" priority="40" operator="equal">
      <formula>"À faire"</formula>
    </cfRule>
  </conditionalFormatting>
  <dataValidations count="5">
    <dataValidation type="list" allowBlank="1" error="Choisissez une valeur dans la liste." sqref="C18 C19 C20 C21 C22 C23 C24" xr:uid="{00000000-0002-0000-0200-000000000000}">
      <formula1>"Menace,Occasion,Les deux"</formula1>
    </dataValidation>
    <dataValidation type="list" allowBlank="1" error="Choisissez une valeur dans la liste." sqref="B33" xr:uid="{00000000-0002-0000-0200-000001000000}">
      <formula1>"Oui,En partie,Non"</formula1>
    </dataValidation>
    <dataValidation type="list" allowBlank="1" error="Choisissez une valeur dans la liste." sqref="B40 B41 B42 B43 B44 B45" xr:uid="{00000000-0002-0000-0200-000002000000}">
      <formula1>"Accélération de l’existant,Déplacement vers du nouveau"</formula1>
    </dataValidation>
    <dataValidation type="list" allowBlank="1" error="Choisissez une valeur dans la liste." sqref="B47" xr:uid="{00000000-0002-0000-0200-000003000000}">
      <formula1>"Oui,Pas encore"</formula1>
    </dataValidation>
    <dataValidation type="list" allowBlank="1" error="Choisissez une valeur dans la liste." sqref="B57 B58 B59" xr:uid="{00000000-0002-0000-0200-000004000000}">
      <formula1>"Le jugement en contexte,La responsabilité assumée,La relation de confiance,Le sens donné,La décision dans le flou"</formula1>
    </dataValidation>
  </dataValidations>
  <printOptions horizontalCentered="1"/>
  <pageMargins left="0.4" right="0.4" top="0.5" bottom="0.5" header="0.5" footer="0.5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A56DB"/>
    <outlinePr summaryBelow="0"/>
    <pageSetUpPr fitToPage="1"/>
  </sheetPr>
  <dimension ref="A1:AD214"/>
  <sheetViews>
    <sheetView showGridLines="0" workbookViewId="0">
      <pane ySplit="3" topLeftCell="A4" activePane="bottomLeft" state="frozen"/>
      <selection pane="bottomLeft"/>
    </sheetView>
  </sheetViews>
  <sheetFormatPr baseColWidth="10" defaultColWidth="9.06640625" defaultRowHeight="14.25" outlineLevelRow="1" x14ac:dyDescent="0.45"/>
  <cols>
    <col min="1" max="1" width="42" customWidth="1"/>
    <col min="2" max="2" width="38" customWidth="1"/>
    <col min="3" max="3" width="24" customWidth="1"/>
    <col min="4" max="4" width="16" customWidth="1"/>
    <col min="5" max="5" width="8" customWidth="1"/>
    <col min="17" max="17" width="13" hidden="1" customWidth="1"/>
    <col min="24" max="26" width="6" hidden="1" customWidth="1"/>
    <col min="27" max="27" width="13" hidden="1" customWidth="1"/>
  </cols>
  <sheetData>
    <row r="1" spans="1:30" ht="30" customHeight="1" x14ac:dyDescent="0.45">
      <c r="A1" s="72" t="s">
        <v>159</v>
      </c>
      <c r="B1" s="47"/>
      <c r="C1" s="47"/>
      <c r="D1" s="47"/>
      <c r="E1" s="47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>
        <v>4</v>
      </c>
      <c r="AA1" s="12"/>
      <c r="AB1" s="12"/>
      <c r="AC1" s="12"/>
      <c r="AD1" s="12"/>
    </row>
    <row r="2" spans="1:30" ht="16.05" customHeight="1" x14ac:dyDescent="0.45">
      <c r="A2" s="57" t="s">
        <v>160</v>
      </c>
      <c r="B2" s="47"/>
      <c r="C2" s="47"/>
      <c r="D2" s="47"/>
      <c r="E2" s="47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>
        <f>Z5+Z37+Z69+Z93</f>
        <v>0</v>
      </c>
      <c r="AA2" s="12"/>
      <c r="AB2" s="12"/>
      <c r="AC2" s="12"/>
      <c r="AD2" s="12"/>
    </row>
    <row r="3" spans="1:30" ht="22.05" customHeight="1" x14ac:dyDescent="0.45">
      <c r="A3" s="26" t="str">
        <f>"Votre avancée : "&amp;Z2&amp;" geste"&amp;IF(Z2&gt;1,"s","")&amp;" sur "&amp;Z1</f>
        <v>Votre avancée : 0 geste sur 4</v>
      </c>
      <c r="B3" s="74">
        <f>IF(Z1=0,0,Z2/Z1)</f>
        <v>0</v>
      </c>
      <c r="C3" s="47"/>
      <c r="D3" s="47"/>
      <c r="E3" s="47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x14ac:dyDescent="0.4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26" customHeight="1" x14ac:dyDescent="0.45">
      <c r="A5" s="51" t="s">
        <v>161</v>
      </c>
      <c r="B5" s="66"/>
      <c r="C5" s="66"/>
      <c r="D5" s="66"/>
      <c r="E5" s="27" t="str">
        <f>IF(Y5=0,"",IF(X5=0,"À faire",IF(X5&lt;Y5,"En cours","Fait")))</f>
        <v>À faire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>
        <f>COUNTA(A11:A20)+SUMPRODUCT(--(TRIM(B11:B20)&lt;&gt;TRIM(Q11:Q20)))</f>
        <v>0</v>
      </c>
      <c r="Y5" s="12">
        <v>20</v>
      </c>
      <c r="Z5" s="12">
        <f>IF(E5="Fait",1,0)</f>
        <v>0</v>
      </c>
      <c r="AA5" s="12"/>
      <c r="AB5" s="12"/>
      <c r="AC5" s="12"/>
      <c r="AD5" s="12"/>
    </row>
    <row r="6" spans="1:30" ht="45" customHeight="1" x14ac:dyDescent="0.45">
      <c r="A6" s="28" t="s">
        <v>112</v>
      </c>
      <c r="B6" s="71" t="s">
        <v>162</v>
      </c>
      <c r="C6" s="47"/>
      <c r="D6" s="47"/>
      <c r="E6" s="47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8.05" customHeight="1" x14ac:dyDescent="0.45">
      <c r="A7" s="28" t="s">
        <v>114</v>
      </c>
      <c r="B7" s="73" t="s">
        <v>163</v>
      </c>
      <c r="C7" s="47"/>
      <c r="D7" s="47"/>
      <c r="E7" s="47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x14ac:dyDescent="0.4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ht="16.05" customHeight="1" x14ac:dyDescent="0.45">
      <c r="A9" s="75" t="s">
        <v>116</v>
      </c>
      <c r="B9" s="47"/>
      <c r="C9" s="47"/>
      <c r="D9" s="47"/>
      <c r="E9" s="4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ht="30" customHeight="1" x14ac:dyDescent="0.45">
      <c r="A10" s="32" t="s">
        <v>164</v>
      </c>
      <c r="B10" s="32" t="s">
        <v>165</v>
      </c>
      <c r="C10" s="32" t="s">
        <v>166</v>
      </c>
      <c r="D10" s="32" t="s">
        <v>167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ht="19.05" customHeight="1" x14ac:dyDescent="0.45">
      <c r="A11" s="1"/>
      <c r="B11" s="1"/>
      <c r="C11" s="1"/>
      <c r="D11" s="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ht="19.05" customHeight="1" x14ac:dyDescent="0.45">
      <c r="A12" s="1"/>
      <c r="B12" s="1"/>
      <c r="C12" s="1"/>
      <c r="D12" s="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ht="19.05" customHeight="1" x14ac:dyDescent="0.45">
      <c r="A13" s="1"/>
      <c r="B13" s="1"/>
      <c r="C13" s="1"/>
      <c r="D13" s="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ht="19.05" customHeight="1" x14ac:dyDescent="0.45">
      <c r="A14" s="1"/>
      <c r="B14" s="1"/>
      <c r="C14" s="1"/>
      <c r="D14" s="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ht="19.05" customHeight="1" x14ac:dyDescent="0.45">
      <c r="A15" s="1"/>
      <c r="B15" s="1"/>
      <c r="C15" s="1"/>
      <c r="D15" s="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ht="19.05" customHeight="1" x14ac:dyDescent="0.45">
      <c r="A16" s="1"/>
      <c r="B16" s="1"/>
      <c r="C16" s="1"/>
      <c r="D16" s="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ht="19.05" customHeight="1" x14ac:dyDescent="0.45">
      <c r="A17" s="1"/>
      <c r="B17" s="1"/>
      <c r="C17" s="1"/>
      <c r="D17" s="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ht="19.05" customHeight="1" x14ac:dyDescent="0.45">
      <c r="A18" s="1"/>
      <c r="B18" s="1"/>
      <c r="C18" s="1"/>
      <c r="D18" s="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ht="19.05" customHeight="1" x14ac:dyDescent="0.45">
      <c r="A19" s="1"/>
      <c r="B19" s="1"/>
      <c r="C19" s="1"/>
      <c r="D19" s="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ht="19.05" customHeight="1" x14ac:dyDescent="0.45">
      <c r="A20" s="1"/>
      <c r="B20" s="1"/>
      <c r="C20" s="1"/>
      <c r="D20" s="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ht="19.05" customHeight="1" x14ac:dyDescent="0.45">
      <c r="A21" s="1"/>
      <c r="B21" s="1"/>
      <c r="C21" s="1"/>
      <c r="D21" s="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x14ac:dyDescent="0.4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ht="16.05" customHeight="1" x14ac:dyDescent="0.45">
      <c r="A23" s="48" t="s">
        <v>168</v>
      </c>
      <c r="B23" s="47"/>
      <c r="C23" s="47"/>
      <c r="D23" s="47"/>
      <c r="E23" s="4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ht="30" customHeight="1" x14ac:dyDescent="0.45">
      <c r="A24" s="32" t="s">
        <v>165</v>
      </c>
      <c r="B24" s="32" t="s">
        <v>169</v>
      </c>
      <c r="C24" s="32" t="s">
        <v>170</v>
      </c>
      <c r="D24" s="3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x14ac:dyDescent="0.45">
      <c r="A25" s="25" t="s">
        <v>171</v>
      </c>
      <c r="B25" s="17">
        <f>COUNTIF(B11:B21,"Automatisable")</f>
        <v>0</v>
      </c>
      <c r="C25" s="33" t="str">
        <f>IF(COUNTA(B11:B21)=0,"—",COUNTIF(B11:B21,"Automatisable")/COUNTA(B11:B21))</f>
        <v>—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x14ac:dyDescent="0.45">
      <c r="A26" s="25" t="s">
        <v>172</v>
      </c>
      <c r="B26" s="17">
        <f>COUNTIF(B11:B21,"Augmentable")</f>
        <v>0</v>
      </c>
      <c r="C26" s="33" t="str">
        <f>IF(COUNTA(B11:B21)=0,"—",COUNTIF(B11:B21,"Augmentable")/COUNTA(B11:B21))</f>
        <v>—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x14ac:dyDescent="0.45">
      <c r="A27" s="25" t="s">
        <v>173</v>
      </c>
      <c r="B27" s="17">
        <f>COUNTIF(B11:B21,"Irremplaçable")</f>
        <v>0</v>
      </c>
      <c r="C27" s="33" t="str">
        <f>IF(COUNTA(B11:B21)=0,"—",COUNTIF(B11:B21,"Irremplaçable")/COUNTA(B11:B21))</f>
        <v>—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ht="26" customHeight="1" x14ac:dyDescent="0.45">
      <c r="A28" s="48" t="s">
        <v>174</v>
      </c>
      <c r="B28" s="47"/>
      <c r="C28" s="47"/>
      <c r="D28" s="47"/>
      <c r="E28" s="47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x14ac:dyDescent="0.4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ht="18" customHeight="1" x14ac:dyDescent="0.45">
      <c r="A30" s="70" t="s">
        <v>175</v>
      </c>
      <c r="B30" s="47"/>
      <c r="C30" s="47"/>
      <c r="D30" s="47"/>
      <c r="E30" s="47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ht="26" hidden="1" customHeight="1" outlineLevel="1" x14ac:dyDescent="0.45">
      <c r="A31" s="48" t="s">
        <v>176</v>
      </c>
      <c r="B31" s="47"/>
      <c r="C31" s="47"/>
      <c r="D31" s="47"/>
      <c r="E31" s="47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ht="20" hidden="1" customHeight="1" outlineLevel="1" x14ac:dyDescent="0.45">
      <c r="A32" s="29" t="s">
        <v>177</v>
      </c>
      <c r="B32" s="67" t="s">
        <v>178</v>
      </c>
      <c r="C32" s="68"/>
      <c r="D32" s="69"/>
      <c r="E32" s="31" t="str">
        <f>IF(AND(B32&lt;&gt;"",B32&lt;&gt;Q32),"✔","")</f>
        <v/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 t="s">
        <v>178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ht="28.05" hidden="1" customHeight="1" outlineLevel="1" x14ac:dyDescent="0.45">
      <c r="A33" s="29" t="s">
        <v>179</v>
      </c>
      <c r="B33" s="67" t="s">
        <v>180</v>
      </c>
      <c r="C33" s="68"/>
      <c r="D33" s="69"/>
      <c r="E33" s="31" t="str">
        <f>IF(AND(B33&lt;&gt;"",B33&lt;&gt;Q33),"✔","")</f>
        <v/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 t="s">
        <v>180</v>
      </c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ht="20" hidden="1" customHeight="1" outlineLevel="1" x14ac:dyDescent="0.45">
      <c r="A34" s="29" t="s">
        <v>181</v>
      </c>
      <c r="B34" s="67"/>
      <c r="C34" s="68"/>
      <c r="D34" s="69"/>
      <c r="E34" s="31" t="str">
        <f>IF(AND(B34&lt;&gt;"",B34&lt;&gt;Q34),"✔","")</f>
        <v/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x14ac:dyDescent="0.4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x14ac:dyDescent="0.4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ht="26" customHeight="1" x14ac:dyDescent="0.45">
      <c r="A37" s="51" t="s">
        <v>182</v>
      </c>
      <c r="B37" s="66"/>
      <c r="C37" s="66"/>
      <c r="D37" s="66"/>
      <c r="E37" s="27" t="str">
        <f>IF(Y37=0,"",IF(X37=0,"À faire",IF(X37&lt;Y37,"En cours","Fait")))</f>
        <v>À faire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>
        <f>COUNTA(D43:D51)+--(TRIM(B59)&lt;&gt;TRIM(Q59))+--(TRIM(B60)&lt;&gt;TRIM(Q60))</f>
        <v>0</v>
      </c>
      <c r="Y37" s="12">
        <v>11</v>
      </c>
      <c r="Z37" s="12">
        <f>IF(E37="Fait",1,0)</f>
        <v>0</v>
      </c>
      <c r="AA37" s="12"/>
      <c r="AB37" s="12"/>
      <c r="AC37" s="12"/>
      <c r="AD37" s="12"/>
    </row>
    <row r="38" spans="1:30" ht="30" customHeight="1" x14ac:dyDescent="0.45">
      <c r="A38" s="28" t="s">
        <v>112</v>
      </c>
      <c r="B38" s="71" t="s">
        <v>183</v>
      </c>
      <c r="C38" s="47"/>
      <c r="D38" s="47"/>
      <c r="E38" s="4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ht="28.05" customHeight="1" x14ac:dyDescent="0.45">
      <c r="A39" s="28" t="s">
        <v>114</v>
      </c>
      <c r="B39" s="73" t="s">
        <v>184</v>
      </c>
      <c r="C39" s="47"/>
      <c r="D39" s="47"/>
      <c r="E39" s="47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x14ac:dyDescent="0.4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ht="16.05" customHeight="1" x14ac:dyDescent="0.45">
      <c r="A41" s="75" t="s">
        <v>116</v>
      </c>
      <c r="B41" s="47"/>
      <c r="C41" s="47"/>
      <c r="D41" s="47"/>
      <c r="E41" s="47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ht="30" customHeight="1" x14ac:dyDescent="0.45">
      <c r="A42" s="32" t="s">
        <v>185</v>
      </c>
      <c r="B42" s="32" t="s">
        <v>186</v>
      </c>
      <c r="C42" s="32" t="s">
        <v>187</v>
      </c>
      <c r="D42" s="32" t="s">
        <v>188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ht="34.049999999999997" customHeight="1" x14ac:dyDescent="0.45">
      <c r="A43" s="34">
        <v>1</v>
      </c>
      <c r="B43" s="29" t="s">
        <v>189</v>
      </c>
      <c r="C43" s="13" t="s">
        <v>190</v>
      </c>
      <c r="D43" s="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ht="34.049999999999997" customHeight="1" x14ac:dyDescent="0.45">
      <c r="A44" s="34">
        <v>2</v>
      </c>
      <c r="B44" s="29" t="s">
        <v>191</v>
      </c>
      <c r="C44" s="13" t="s">
        <v>192</v>
      </c>
      <c r="D44" s="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ht="34.049999999999997" customHeight="1" x14ac:dyDescent="0.45">
      <c r="A45" s="34">
        <v>3</v>
      </c>
      <c r="B45" s="29" t="s">
        <v>193</v>
      </c>
      <c r="C45" s="13" t="s">
        <v>194</v>
      </c>
      <c r="D45" s="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ht="34.049999999999997" customHeight="1" x14ac:dyDescent="0.45">
      <c r="A46" s="34">
        <v>4</v>
      </c>
      <c r="B46" s="29" t="s">
        <v>195</v>
      </c>
      <c r="C46" s="13" t="s">
        <v>196</v>
      </c>
      <c r="D46" s="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ht="34.049999999999997" customHeight="1" x14ac:dyDescent="0.45">
      <c r="A47" s="34">
        <v>5</v>
      </c>
      <c r="B47" s="29" t="s">
        <v>197</v>
      </c>
      <c r="C47" s="13" t="s">
        <v>198</v>
      </c>
      <c r="D47" s="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ht="34.049999999999997" customHeight="1" x14ac:dyDescent="0.45">
      <c r="A48" s="34">
        <v>6</v>
      </c>
      <c r="B48" s="29" t="s">
        <v>199</v>
      </c>
      <c r="C48" s="13" t="s">
        <v>200</v>
      </c>
      <c r="D48" s="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ht="34.049999999999997" customHeight="1" x14ac:dyDescent="0.45">
      <c r="A49" s="34">
        <v>7</v>
      </c>
      <c r="B49" s="29" t="s">
        <v>201</v>
      </c>
      <c r="C49" s="13" t="s">
        <v>202</v>
      </c>
      <c r="D49" s="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ht="34.049999999999997" customHeight="1" x14ac:dyDescent="0.45">
      <c r="A50" s="34">
        <v>8</v>
      </c>
      <c r="B50" s="29" t="s">
        <v>203</v>
      </c>
      <c r="C50" s="13" t="s">
        <v>204</v>
      </c>
      <c r="D50" s="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ht="34.049999999999997" customHeight="1" x14ac:dyDescent="0.45">
      <c r="A51" s="34">
        <v>9</v>
      </c>
      <c r="B51" s="29" t="s">
        <v>205</v>
      </c>
      <c r="C51" s="13" t="s">
        <v>206</v>
      </c>
      <c r="D51" s="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x14ac:dyDescent="0.4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ht="16.05" customHeight="1" x14ac:dyDescent="0.45">
      <c r="A53" s="48" t="s">
        <v>207</v>
      </c>
      <c r="B53" s="47"/>
      <c r="C53" s="47"/>
      <c r="D53" s="47"/>
      <c r="E53" s="47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x14ac:dyDescent="0.45">
      <c r="A54" s="25" t="s">
        <v>208</v>
      </c>
      <c r="B54" s="17">
        <f>COUNTIF(D43:D51,"A")</f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x14ac:dyDescent="0.45">
      <c r="A55" s="25" t="s">
        <v>209</v>
      </c>
      <c r="B55" s="17">
        <f>COUNTIF(D43:D51,"B")</f>
        <v>0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x14ac:dyDescent="0.45">
      <c r="A56" s="25" t="s">
        <v>210</v>
      </c>
      <c r="B56" s="17">
        <f>COUNTIF(D43:D51,"C")</f>
        <v>0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ht="24" customHeight="1" x14ac:dyDescent="0.45">
      <c r="A57" s="35" t="s">
        <v>211</v>
      </c>
      <c r="B57" s="60" t="str">
        <f>IF(COUNTA(D43:D51)=0,"—",IF(AND(B54&gt;=B55,B54&gt;=B56),"A — spectateur",IF(AND(B55&gt;=B54,B55&gt;=B56),"B — adaptateur","C — stratège")))</f>
        <v>—</v>
      </c>
      <c r="C57" s="47"/>
      <c r="D57" s="47"/>
      <c r="E57" s="47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x14ac:dyDescent="0.4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1:30" ht="20" customHeight="1" x14ac:dyDescent="0.45">
      <c r="A59" s="29" t="s">
        <v>212</v>
      </c>
      <c r="B59" s="67"/>
      <c r="C59" s="68"/>
      <c r="D59" s="69"/>
      <c r="E59" s="31" t="str">
        <f>IF(AND(B59&lt;&gt;"",B59&lt;&gt;Q59),"✔","")</f>
        <v/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spans="1:30" ht="20" customHeight="1" x14ac:dyDescent="0.45">
      <c r="A60" s="29" t="s">
        <v>213</v>
      </c>
      <c r="B60" s="67" t="s">
        <v>214</v>
      </c>
      <c r="C60" s="68"/>
      <c r="D60" s="69"/>
      <c r="E60" s="31" t="str">
        <f>IF(AND(B60&lt;&gt;"",B60&lt;&gt;Q60),"✔","")</f>
        <v/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 t="s">
        <v>214</v>
      </c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1:30" ht="26" customHeight="1" x14ac:dyDescent="0.45">
      <c r="A61" s="48" t="s">
        <v>215</v>
      </c>
      <c r="B61" s="47"/>
      <c r="C61" s="47"/>
      <c r="D61" s="47"/>
      <c r="E61" s="47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1:30" x14ac:dyDescent="0.4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1:30" ht="18" customHeight="1" x14ac:dyDescent="0.45">
      <c r="A63" s="70" t="s">
        <v>216</v>
      </c>
      <c r="B63" s="47"/>
      <c r="C63" s="47"/>
      <c r="D63" s="47"/>
      <c r="E63" s="47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1:30" ht="26" hidden="1" customHeight="1" outlineLevel="1" x14ac:dyDescent="0.45">
      <c r="A64" s="48" t="s">
        <v>217</v>
      </c>
      <c r="B64" s="47"/>
      <c r="C64" s="47"/>
      <c r="D64" s="47"/>
      <c r="E64" s="47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0" ht="20" hidden="1" customHeight="1" outlineLevel="1" x14ac:dyDescent="0.45">
      <c r="A65" s="29" t="s">
        <v>218</v>
      </c>
      <c r="B65" s="67" t="s">
        <v>219</v>
      </c>
      <c r="C65" s="68"/>
      <c r="D65" s="69"/>
      <c r="E65" s="31" t="str">
        <f>IF(AND(B65&lt;&gt;"",B65&lt;&gt;Q65),"✔","")</f>
        <v/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 t="s">
        <v>219</v>
      </c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0" ht="28.05" hidden="1" customHeight="1" outlineLevel="1" x14ac:dyDescent="0.45">
      <c r="A66" s="29" t="s">
        <v>220</v>
      </c>
      <c r="B66" s="67" t="s">
        <v>221</v>
      </c>
      <c r="C66" s="68"/>
      <c r="D66" s="69"/>
      <c r="E66" s="31" t="str">
        <f>IF(AND(B66&lt;&gt;"",B66&lt;&gt;Q66),"✔","")</f>
        <v/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 t="s">
        <v>221</v>
      </c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0" x14ac:dyDescent="0.4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1:30" x14ac:dyDescent="0.4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ht="26" customHeight="1" x14ac:dyDescent="0.45">
      <c r="A69" s="51" t="s">
        <v>222</v>
      </c>
      <c r="B69" s="66"/>
      <c r="C69" s="66"/>
      <c r="D69" s="66"/>
      <c r="E69" s="27" t="str">
        <f>IF(Y69=0,"",IF(X69=0,"À faire",IF(X69&lt;Y69,"En cours","Fait")))</f>
        <v>À faire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>
        <f>--(TRIM(B80)&lt;&gt;TRIM(Q80))+--(TRIM(B81)&lt;&gt;TRIM(Q81))+--(TRIM(B83)&lt;&gt;TRIM(Q83))</f>
        <v>0</v>
      </c>
      <c r="Y69" s="12">
        <v>3</v>
      </c>
      <c r="Z69" s="12">
        <f>IF(E69="Fait",1,0)</f>
        <v>0</v>
      </c>
      <c r="AA69" s="12"/>
      <c r="AB69" s="12"/>
      <c r="AC69" s="12"/>
      <c r="AD69" s="12"/>
    </row>
    <row r="70" spans="1:30" ht="30" customHeight="1" x14ac:dyDescent="0.45">
      <c r="A70" s="28" t="s">
        <v>112</v>
      </c>
      <c r="B70" s="71" t="s">
        <v>223</v>
      </c>
      <c r="C70" s="47"/>
      <c r="D70" s="47"/>
      <c r="E70" s="47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spans="1:30" ht="28.05" customHeight="1" x14ac:dyDescent="0.45">
      <c r="A71" s="28" t="s">
        <v>114</v>
      </c>
      <c r="B71" s="73" t="s">
        <v>224</v>
      </c>
      <c r="C71" s="47"/>
      <c r="D71" s="47"/>
      <c r="E71" s="47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</row>
    <row r="72" spans="1:30" x14ac:dyDescent="0.4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1:30" ht="16.05" customHeight="1" x14ac:dyDescent="0.45">
      <c r="A73" s="75" t="s">
        <v>116</v>
      </c>
      <c r="B73" s="47"/>
      <c r="C73" s="47"/>
      <c r="D73" s="47"/>
      <c r="E73" s="47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</row>
    <row r="74" spans="1:30" ht="16.05" customHeight="1" x14ac:dyDescent="0.45">
      <c r="A74" s="48" t="s">
        <v>225</v>
      </c>
      <c r="B74" s="47"/>
      <c r="C74" s="47"/>
      <c r="D74" s="47"/>
      <c r="E74" s="47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</row>
    <row r="75" spans="1:30" ht="30" customHeight="1" x14ac:dyDescent="0.45">
      <c r="A75" s="32" t="s">
        <v>226</v>
      </c>
      <c r="B75" s="32" t="s">
        <v>227</v>
      </c>
      <c r="C75" s="32" t="s">
        <v>228</v>
      </c>
      <c r="D75" s="32" t="s">
        <v>229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1:30" ht="34.049999999999997" customHeight="1" x14ac:dyDescent="0.45">
      <c r="A76" s="36" t="s">
        <v>230</v>
      </c>
      <c r="B76" s="37" t="str">
        <f>IF(AND($B$80="Plutôt irremplaçables",$B$81="Spectateur (A)"),"◆ VOUS ÊTES ICI · ",IF(OR(AND($B$81&lt;&gt;"","Spectateur (A)"="Stratège (C)",$B$81&lt;&gt;"Stratège (C)",$B$80="Plutôt irremplaçables"),AND($B$81="Stratège (C)","Spectateur (A)"="Stratège (C)",IF($B$80="",0,MATCH($B$80,$X$200:$X$202,0))=2)),"→ PROCHAIN PAS · ",IF(AND($B$80&lt;&gt;"","Plutôt irremplaçables"="Plutôt irremplaçables","Spectateur (A)"="Stratège (C)"),"★ DESTINATION · ","")))&amp;"Le confort trompeur — protégé aujourd’hui, aveugle demain"</f>
        <v>Le confort trompeur — protégé aujourd’hui, aveugle demain</v>
      </c>
      <c r="C76" s="37" t="str">
        <f>IF(AND($B$80="Plutôt irremplaçables",$B$81="Adaptateur (B)"),"◆ VOUS ÊTES ICI · ",IF(OR(AND($B$81&lt;&gt;"","Adaptateur (B)"="Stratège (C)",$B$81&lt;&gt;"Stratège (C)",$B$80="Plutôt irremplaçables"),AND($B$81="Stratège (C)","Adaptateur (B)"="Stratège (C)",IF($B$80="",0,MATCH($B$80,$X$200:$X$202,0))=2)),"→ PROCHAIN PAS · ",IF(AND($B$80&lt;&gt;"","Plutôt irremplaçables"="Plutôt irremplaçables","Adaptateur (B)"="Stratège (C)"),"★ DESTINATION · ","")))&amp;"Le socle — solide, sans cap"</f>
        <v>Le socle — solide, sans cap</v>
      </c>
      <c r="D76" s="37" t="str">
        <f>IF(AND($B$80="Plutôt irremplaçables",$B$81="Stratège (C)"),"◆ VOUS ÊTES ICI · ",IF(OR(AND($B$81&lt;&gt;"","Stratège (C)"="Stratège (C)",$B$81&lt;&gt;"Stratège (C)",$B$80="Plutôt irremplaçables"),AND($B$81="Stratège (C)","Stratège (C)"="Stratège (C)",IF($B$80="",0,MATCH($B$80,$X$200:$X$202,0))=2)),"→ PROCHAIN PAS · ",IF(AND($B$80&lt;&gt;"","Plutôt irremplaçables"="Plutôt irremplaçables","Stratège (C)"="Stratège (C)"),"★ DESTINATION · ","")))&amp;"La zone irremplaçable — la destination"</f>
        <v>La zone irremplaçable — la destination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</row>
    <row r="77" spans="1:30" ht="34.049999999999997" customHeight="1" x14ac:dyDescent="0.45">
      <c r="A77" s="36" t="s">
        <v>231</v>
      </c>
      <c r="B77" s="37" t="str">
        <f>IF(AND($B$80="Plutôt augmentables",$B$81="Spectateur (A)"),"◆ VOUS ÊTES ICI · ",IF(OR(AND($B$81&lt;&gt;"","Spectateur (A)"="Stratège (C)",$B$81&lt;&gt;"Stratège (C)",$B$80="Plutôt augmentables"),AND($B$81="Stratège (C)","Spectateur (A)"="Stratège (C)",IF($B$80="",0,MATCH($B$80,$X$200:$X$202,0))=3)),"→ PROCHAIN PAS · ",IF(AND($B$80&lt;&gt;"","Plutôt augmentables"="Plutôt irremplaçables","Spectateur (A)"="Stratège (C)"),"★ DESTINATION · ","")))&amp;"L’érosion — dépassé en silence"</f>
        <v>L’érosion — dépassé en silence</v>
      </c>
      <c r="C77" s="37" t="str">
        <f>IF(AND($B$80="Plutôt augmentables",$B$81="Adaptateur (B)"),"◆ VOUS ÊTES ICI · ",IF(OR(AND($B$81&lt;&gt;"","Adaptateur (B)"="Stratège (C)",$B$81&lt;&gt;"Stratège (C)",$B$80="Plutôt augmentables"),AND($B$81="Stratège (C)","Adaptateur (B)"="Stratège (C)",IF($B$80="",0,MATCH($B$80,$X$200:$X$202,0))=3)),"→ PROCHAIN PAS · ",IF(AND($B$80&lt;&gt;"","Plutôt augmentables"="Plutôt irremplaçables","Adaptateur (B)"="Stratège (C)"),"★ DESTINATION · ","")))&amp;"Le courant — porté, sans gouvernail"</f>
        <v>Le courant — porté, sans gouvernail</v>
      </c>
      <c r="D77" s="37" t="str">
        <f>IF(AND($B$80="Plutôt augmentables",$B$81="Stratège (C)"),"◆ VOUS ÊTES ICI · ",IF(OR(AND($B$81&lt;&gt;"","Stratège (C)"="Stratège (C)",$B$81&lt;&gt;"Stratège (C)",$B$80="Plutôt augmentables"),AND($B$81="Stratège (C)","Stratège (C)"="Stratège (C)",IF($B$80="",0,MATCH($B$80,$X$200:$X$202,0))=3)),"→ PROCHAIN PAS · ",IF(AND($B$80&lt;&gt;"","Plutôt augmentables"="Plutôt irremplaçables","Stratège (C)"="Stratège (C)"),"★ DESTINATION · ","")))&amp;"La rampe — l’outil devient levier"</f>
        <v>La rampe — l’outil devient levier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</row>
    <row r="78" spans="1:30" ht="34.049999999999997" customHeight="1" x14ac:dyDescent="0.45">
      <c r="A78" s="36" t="s">
        <v>232</v>
      </c>
      <c r="B78" s="37" t="str">
        <f>IF(AND($B$80="Plutôt automatisables",$B$81="Spectateur (A)"),"◆ VOUS ÊTES ICI · ",IF(OR(AND($B$81&lt;&gt;"","Spectateur (A)"="Stratège (C)",$B$81&lt;&gt;"Stratège (C)",$B$80="Plutôt automatisables"),AND($B$81="Stratège (C)","Spectateur (A)"="Stratège (C)",IF($B$80="",0,MATCH($B$80,$X$200:$X$202,0))=4)),"→ PROCHAIN PAS · ",IF(AND($B$80&lt;&gt;"","Plutôt automatisables"="Plutôt irremplaçables","Spectateur (A)"="Stratège (C)"),"★ DESTINATION · ","")))&amp;"Le sursis — la facture arrive d’un coup"</f>
        <v>Le sursis — la facture arrive d’un coup</v>
      </c>
      <c r="C78" s="37" t="str">
        <f>IF(AND($B$80="Plutôt automatisables",$B$81="Adaptateur (B)"),"◆ VOUS ÊTES ICI · ",IF(OR(AND($B$81&lt;&gt;"","Adaptateur (B)"="Stratège (C)",$B$81&lt;&gt;"Stratège (C)",$B$80="Plutôt automatisables"),AND($B$81="Stratège (C)","Adaptateur (B)"="Stratège (C)",IF($B$80="",0,MATCH($B$80,$X$200:$X$202,0))=4)),"→ PROCHAIN PAS · ",IF(AND($B$80&lt;&gt;"","Plutôt automatisables"="Plutôt irremplaçables","Adaptateur (B)"="Stratège (C)"),"★ DESTINATION · ","")))&amp;"Le tapis roulant — courir sur place"</f>
        <v>Le tapis roulant — courir sur place</v>
      </c>
      <c r="D78" s="37" t="str">
        <f>IF(AND($B$80="Plutôt automatisables",$B$81="Stratège (C)"),"◆ VOUS ÊTES ICI · ",IF(OR(AND($B$81&lt;&gt;"","Stratège (C)"="Stratège (C)",$B$81&lt;&gt;"Stratège (C)",$B$80="Plutôt automatisables"),AND($B$81="Stratège (C)","Stratège (C)"="Stratège (C)",IF($B$80="",0,MATCH($B$80,$X$200:$X$202,0))=4)),"→ PROCHAIN PAS · ",IF(AND($B$80&lt;&gt;"","Plutôt automatisables"="Plutôt irremplaçables","Stratège (C)"="Stratège (C)"),"★ DESTINATION · ","")))&amp;"Le rebond — exposé, mais en mouvement"</f>
        <v>Le rebond — exposé, mais en mouvement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1:30" x14ac:dyDescent="0.4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</row>
    <row r="80" spans="1:30" ht="20" customHeight="1" x14ac:dyDescent="0.45">
      <c r="A80" s="29" t="s">
        <v>233</v>
      </c>
      <c r="B80" s="67"/>
      <c r="C80" s="68"/>
      <c r="D80" s="69"/>
      <c r="E80" s="31" t="str">
        <f>IF(AND(B80&lt;&gt;"",B80&lt;&gt;Q80),"✔","")</f>
        <v/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1:30" ht="20" customHeight="1" x14ac:dyDescent="0.45">
      <c r="A81" s="29" t="s">
        <v>234</v>
      </c>
      <c r="B81" s="67"/>
      <c r="C81" s="68"/>
      <c r="D81" s="69"/>
      <c r="E81" s="31" t="str">
        <f>IF(AND(B81&lt;&gt;"",B81&lt;&gt;Q81),"✔","")</f>
        <v/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</row>
    <row r="82" spans="1:30" ht="24" customHeight="1" x14ac:dyDescent="0.45">
      <c r="A82" s="35" t="s">
        <v>235</v>
      </c>
      <c r="B82" s="60" t="str">
        <f>IF(OR(B80="",B81=""),"À croiser — remplissez la ligne et la colonne",INDEX($Y$200:$AA$202,MATCH(B80,$X$200:$X$202,0),MATCH(B81,$Y$199:$AA$199,0)))</f>
        <v>À croiser — remplissez la ligne et la colonne</v>
      </c>
      <c r="C82" s="47"/>
      <c r="D82" s="47"/>
      <c r="E82" s="47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</row>
    <row r="83" spans="1:30" ht="28.05" customHeight="1" x14ac:dyDescent="0.45">
      <c r="A83" s="29" t="s">
        <v>236</v>
      </c>
      <c r="B83" s="67" t="s">
        <v>237</v>
      </c>
      <c r="C83" s="68"/>
      <c r="D83" s="69"/>
      <c r="E83" s="31" t="str">
        <f>IF(AND(B83&lt;&gt;"",B83&lt;&gt;Q83),"✔","")</f>
        <v/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 t="s">
        <v>237</v>
      </c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</row>
    <row r="84" spans="1:30" ht="16.05" customHeight="1" x14ac:dyDescent="0.45">
      <c r="A84" s="48" t="s">
        <v>238</v>
      </c>
      <c r="B84" s="47"/>
      <c r="C84" s="47"/>
      <c r="D84" s="47"/>
      <c r="E84" s="47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</row>
    <row r="85" spans="1:30" x14ac:dyDescent="0.4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</row>
    <row r="86" spans="1:30" ht="18" customHeight="1" x14ac:dyDescent="0.45">
      <c r="A86" s="70" t="s">
        <v>239</v>
      </c>
      <c r="B86" s="47"/>
      <c r="C86" s="47"/>
      <c r="D86" s="47"/>
      <c r="E86" s="47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0" ht="16.05" hidden="1" customHeight="1" outlineLevel="1" x14ac:dyDescent="0.45">
      <c r="A87" s="48" t="s">
        <v>240</v>
      </c>
      <c r="B87" s="47"/>
      <c r="C87" s="47"/>
      <c r="D87" s="47"/>
      <c r="E87" s="47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0" ht="20" hidden="1" customHeight="1" outlineLevel="1" x14ac:dyDescent="0.45">
      <c r="A88" s="29" t="s">
        <v>241</v>
      </c>
      <c r="B88" s="67" t="s">
        <v>242</v>
      </c>
      <c r="C88" s="68"/>
      <c r="D88" s="69"/>
      <c r="E88" s="31" t="str">
        <f>IF(AND(B88&lt;&gt;"",B88&lt;&gt;Q88),"✔","")</f>
        <v/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 t="s">
        <v>242</v>
      </c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</row>
    <row r="89" spans="1:30" ht="28.05" hidden="1" customHeight="1" outlineLevel="1" x14ac:dyDescent="0.45">
      <c r="A89" s="29" t="s">
        <v>243</v>
      </c>
      <c r="B89" s="67" t="s">
        <v>244</v>
      </c>
      <c r="C89" s="68"/>
      <c r="D89" s="69"/>
      <c r="E89" s="31" t="str">
        <f>IF(AND(B89&lt;&gt;"",B89&lt;&gt;Q89),"✔","")</f>
        <v/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 t="s">
        <v>244</v>
      </c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</row>
    <row r="90" spans="1:30" ht="20" hidden="1" customHeight="1" outlineLevel="1" x14ac:dyDescent="0.45">
      <c r="A90" s="29" t="s">
        <v>245</v>
      </c>
      <c r="B90" s="67" t="s">
        <v>246</v>
      </c>
      <c r="C90" s="68"/>
      <c r="D90" s="69"/>
      <c r="E90" s="31" t="str">
        <f>IF(AND(B90&lt;&gt;"",B90&lt;&gt;Q90),"✔","")</f>
        <v/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 t="s">
        <v>246</v>
      </c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</row>
    <row r="91" spans="1:30" x14ac:dyDescent="0.4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</row>
    <row r="92" spans="1:30" x14ac:dyDescent="0.4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</row>
    <row r="93" spans="1:30" ht="26" customHeight="1" x14ac:dyDescent="0.45">
      <c r="A93" s="51" t="s">
        <v>247</v>
      </c>
      <c r="B93" s="66"/>
      <c r="C93" s="66"/>
      <c r="D93" s="66"/>
      <c r="E93" s="27" t="str">
        <f>IF(Y93=0,"",IF(X93=0,"À faire",IF(X93&lt;Y93,"En cours","Fait")))</f>
        <v>À faire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>
        <f>--(TRIM(B98)&lt;&gt;TRIM(Q98))+--(TRIM(B99)&lt;&gt;TRIM(Q99))+--(TRIM(B100)&lt;&gt;TRIM(Q100))+--(TRIM(B101)&lt;&gt;TRIM(Q101))+--(TRIM(B102)&lt;&gt;TRIM(Q102))+--(TRIM(B105)&lt;&gt;TRIM(Q105))</f>
        <v>0</v>
      </c>
      <c r="Y93" s="12">
        <v>6</v>
      </c>
      <c r="Z93" s="12">
        <f>IF(E93="Fait",1,0)</f>
        <v>0</v>
      </c>
      <c r="AA93" s="12"/>
      <c r="AB93" s="12"/>
      <c r="AC93" s="12"/>
      <c r="AD93" s="12"/>
    </row>
    <row r="94" spans="1:30" ht="45" customHeight="1" x14ac:dyDescent="0.45">
      <c r="A94" s="28" t="s">
        <v>112</v>
      </c>
      <c r="B94" s="71" t="s">
        <v>248</v>
      </c>
      <c r="C94" s="47"/>
      <c r="D94" s="47"/>
      <c r="E94" s="47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spans="1:30" ht="28.05" customHeight="1" x14ac:dyDescent="0.45">
      <c r="A95" s="28" t="s">
        <v>114</v>
      </c>
      <c r="B95" s="73" t="s">
        <v>249</v>
      </c>
      <c r="C95" s="47"/>
      <c r="D95" s="47"/>
      <c r="E95" s="47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</row>
    <row r="96" spans="1:30" x14ac:dyDescent="0.4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spans="1:30" ht="16.05" customHeight="1" x14ac:dyDescent="0.45">
      <c r="A97" s="75" t="s">
        <v>116</v>
      </c>
      <c r="B97" s="47"/>
      <c r="C97" s="47"/>
      <c r="D97" s="47"/>
      <c r="E97" s="47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</row>
    <row r="98" spans="1:30" ht="20" customHeight="1" x14ac:dyDescent="0.45">
      <c r="A98" s="29" t="s">
        <v>250</v>
      </c>
      <c r="B98" s="67" t="s">
        <v>251</v>
      </c>
      <c r="C98" s="68"/>
      <c r="D98" s="69"/>
      <c r="E98" s="31" t="str">
        <f>IF(AND(B98&lt;&gt;"",B98&lt;&gt;Q98),"✔","")</f>
        <v/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 t="s">
        <v>251</v>
      </c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</row>
    <row r="99" spans="1:30" ht="28.05" customHeight="1" x14ac:dyDescent="0.45">
      <c r="A99" s="29" t="s">
        <v>252</v>
      </c>
      <c r="B99" s="67" t="s">
        <v>253</v>
      </c>
      <c r="C99" s="68"/>
      <c r="D99" s="69"/>
      <c r="E99" s="31" t="str">
        <f>IF(AND(B99&lt;&gt;"",B99&lt;&gt;Q99),"✔","")</f>
        <v/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 t="s">
        <v>253</v>
      </c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</row>
    <row r="100" spans="1:30" ht="28.05" customHeight="1" x14ac:dyDescent="0.45">
      <c r="A100" s="29" t="s">
        <v>254</v>
      </c>
      <c r="B100" s="67" t="s">
        <v>255</v>
      </c>
      <c r="C100" s="68"/>
      <c r="D100" s="69"/>
      <c r="E100" s="31" t="str">
        <f>IF(AND(B100&lt;&gt;"",B100&lt;&gt;Q100),"✔","")</f>
        <v/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 t="s">
        <v>255</v>
      </c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</row>
    <row r="101" spans="1:30" ht="28.05" customHeight="1" x14ac:dyDescent="0.45">
      <c r="A101" s="29" t="s">
        <v>256</v>
      </c>
      <c r="B101" s="67" t="s">
        <v>257</v>
      </c>
      <c r="C101" s="68"/>
      <c r="D101" s="69"/>
      <c r="E101" s="31" t="str">
        <f>IF(AND(B101&lt;&gt;"",B101&lt;&gt;Q101),"✔","")</f>
        <v/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 t="s">
        <v>257</v>
      </c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</row>
    <row r="102" spans="1:30" ht="20" customHeight="1" x14ac:dyDescent="0.45">
      <c r="A102" s="29" t="s">
        <v>258</v>
      </c>
      <c r="B102" s="67"/>
      <c r="C102" s="68"/>
      <c r="D102" s="69"/>
      <c r="E102" s="31" t="str">
        <f>IF(AND(B102&lt;&gt;"",B102&lt;&gt;Q102),"✔","")</f>
        <v/>
      </c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</row>
    <row r="103" spans="1:30" x14ac:dyDescent="0.45">
      <c r="A103" s="38" t="s">
        <v>259</v>
      </c>
      <c r="B103" s="71" t="str">
        <f>B82</f>
        <v>À croiser — remplissez la ligne et la colonne</v>
      </c>
      <c r="C103" s="47"/>
      <c r="D103" s="47"/>
      <c r="E103" s="47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</row>
    <row r="104" spans="1:30" ht="26" customHeight="1" x14ac:dyDescent="0.45">
      <c r="A104" s="35" t="s">
        <v>260</v>
      </c>
      <c r="B104" s="79" t="str">
        <f>IF(OR(B102="",B103=""),"À croiser — verdict × case",IF(B102="Qui se polarise","Le milieu se vide : visez un des deux bouts, jamais le centre",IF(B102="Porteur",IF(OR(ISNUMBER(SEARCH("irremplaçable",B103)),ISNUMBER(SEARCH("socle",B103)),ISNUMBER(SEARCH("rampe",B103))),"Monter sur place","Bouger vite, sur place"),IF(OR(ISNUMBER(SEARCH("irremplaçable",B103)),ISNUMBER(SEARCH("socle",B103)),ISNUMBER(SEARCH("rampe",B103))),"Changer de terrain","Commencer par la preuve"))))</f>
        <v>À croiser — verdict × case</v>
      </c>
      <c r="C104" s="47"/>
      <c r="D104" s="47"/>
      <c r="E104" s="47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</row>
    <row r="105" spans="1:30" ht="20" customHeight="1" x14ac:dyDescent="0.45">
      <c r="A105" s="29" t="s">
        <v>261</v>
      </c>
      <c r="B105" s="67" t="s">
        <v>262</v>
      </c>
      <c r="C105" s="68"/>
      <c r="D105" s="69"/>
      <c r="E105" s="31" t="str">
        <f>IF(AND(B105&lt;&gt;"",B105&lt;&gt;Q105),"✔","")</f>
        <v/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 t="s">
        <v>262</v>
      </c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</row>
    <row r="106" spans="1:30" ht="16.05" customHeight="1" x14ac:dyDescent="0.45">
      <c r="A106" s="48" t="s">
        <v>263</v>
      </c>
      <c r="B106" s="47"/>
      <c r="C106" s="47"/>
      <c r="D106" s="47"/>
      <c r="E106" s="47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</row>
    <row r="107" spans="1:30" x14ac:dyDescent="0.4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</row>
    <row r="108" spans="1:30" ht="18" customHeight="1" x14ac:dyDescent="0.45">
      <c r="A108" s="70" t="s">
        <v>264</v>
      </c>
      <c r="B108" s="47"/>
      <c r="C108" s="47"/>
      <c r="D108" s="47"/>
      <c r="E108" s="47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</row>
    <row r="109" spans="1:30" ht="16.05" hidden="1" customHeight="1" outlineLevel="1" x14ac:dyDescent="0.45">
      <c r="A109" s="48" t="s">
        <v>265</v>
      </c>
      <c r="B109" s="47"/>
      <c r="C109" s="47"/>
      <c r="D109" s="47"/>
      <c r="E109" s="47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</row>
    <row r="110" spans="1:30" ht="28.05" hidden="1" customHeight="1" outlineLevel="1" x14ac:dyDescent="0.45">
      <c r="A110" s="29" t="s">
        <v>266</v>
      </c>
      <c r="B110" s="67" t="s">
        <v>267</v>
      </c>
      <c r="C110" s="68"/>
      <c r="D110" s="69"/>
      <c r="E110" s="31" t="str">
        <f>IF(AND(B110&lt;&gt;"",B110&lt;&gt;Q110),"✔","")</f>
        <v/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 t="s">
        <v>267</v>
      </c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</row>
    <row r="111" spans="1:30" ht="28.05" hidden="1" customHeight="1" outlineLevel="1" x14ac:dyDescent="0.45">
      <c r="A111" s="29" t="s">
        <v>268</v>
      </c>
      <c r="B111" s="67" t="s">
        <v>269</v>
      </c>
      <c r="C111" s="68"/>
      <c r="D111" s="69"/>
      <c r="E111" s="31" t="str">
        <f>IF(AND(B111&lt;&gt;"",B111&lt;&gt;Q111),"✔","")</f>
        <v/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 t="s">
        <v>269</v>
      </c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</row>
    <row r="112" spans="1:30" x14ac:dyDescent="0.4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</row>
    <row r="113" spans="1:30" x14ac:dyDescent="0.4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</row>
    <row r="114" spans="1:30" ht="26" customHeight="1" x14ac:dyDescent="0.45">
      <c r="A114" s="76" t="str">
        <f>IF(MIN(Z2,Z1)&gt;=Z1,"✅  MOUVEMENT TERMINÉ  —  Vous décidez de votre trajectoire, au lieu de découvrir la vôtre le jour où elle est déjà tracée.","Il vous reste "&amp;(Z1-MIN(Z2,Z1))&amp;" geste"&amp;IF(Z1-MIN(Z2,Z1)&gt;1,"s","")&amp;" pour débloquer ce que ce mouvement vous apporte.")</f>
        <v>Il vous reste 4 gestes pour débloquer ce que ce mouvement vous apporte.</v>
      </c>
      <c r="B114" s="77"/>
      <c r="C114" s="77"/>
      <c r="D114" s="77"/>
      <c r="E114" s="78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</row>
    <row r="115" spans="1:30" x14ac:dyDescent="0.4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</row>
    <row r="116" spans="1:30" x14ac:dyDescent="0.4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</row>
    <row r="117" spans="1:30" x14ac:dyDescent="0.4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</row>
    <row r="118" spans="1:30" x14ac:dyDescent="0.4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</row>
    <row r="119" spans="1:30" x14ac:dyDescent="0.4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</row>
    <row r="120" spans="1:30" x14ac:dyDescent="0.4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</row>
    <row r="121" spans="1:30" x14ac:dyDescent="0.4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</row>
    <row r="122" spans="1:30" x14ac:dyDescent="0.4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</row>
    <row r="123" spans="1:30" x14ac:dyDescent="0.4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</row>
    <row r="124" spans="1:30" x14ac:dyDescent="0.4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</row>
    <row r="125" spans="1:30" x14ac:dyDescent="0.4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</row>
    <row r="126" spans="1:30" x14ac:dyDescent="0.4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</row>
    <row r="127" spans="1:30" x14ac:dyDescent="0.4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</row>
    <row r="128" spans="1:30" x14ac:dyDescent="0.4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</row>
    <row r="129" spans="1:30" x14ac:dyDescent="0.4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</row>
    <row r="130" spans="1:30" x14ac:dyDescent="0.4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</row>
    <row r="131" spans="1:30" x14ac:dyDescent="0.4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</row>
    <row r="132" spans="1:30" x14ac:dyDescent="0.4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</row>
    <row r="133" spans="1:30" x14ac:dyDescent="0.4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</row>
    <row r="134" spans="1:30" x14ac:dyDescent="0.4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</row>
    <row r="135" spans="1:30" x14ac:dyDescent="0.4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</row>
    <row r="136" spans="1:30" x14ac:dyDescent="0.4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</row>
    <row r="137" spans="1:30" x14ac:dyDescent="0.4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</row>
    <row r="138" spans="1:30" x14ac:dyDescent="0.4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</row>
    <row r="139" spans="1:30" x14ac:dyDescent="0.4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</row>
    <row r="140" spans="1:30" x14ac:dyDescent="0.4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</row>
    <row r="141" spans="1:30" x14ac:dyDescent="0.4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</row>
    <row r="142" spans="1:30" x14ac:dyDescent="0.4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</row>
    <row r="143" spans="1:30" x14ac:dyDescent="0.4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</row>
    <row r="144" spans="1:30" x14ac:dyDescent="0.4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</row>
    <row r="145" spans="1:30" x14ac:dyDescent="0.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</row>
    <row r="146" spans="1:30" x14ac:dyDescent="0.4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</row>
    <row r="147" spans="1:30" x14ac:dyDescent="0.4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</row>
    <row r="148" spans="1:30" x14ac:dyDescent="0.4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</row>
    <row r="149" spans="1:30" x14ac:dyDescent="0.4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</row>
    <row r="150" spans="1:30" x14ac:dyDescent="0.4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</row>
    <row r="151" spans="1:30" x14ac:dyDescent="0.4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</row>
    <row r="152" spans="1:30" x14ac:dyDescent="0.4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</row>
    <row r="153" spans="1:30" x14ac:dyDescent="0.4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</row>
    <row r="154" spans="1:30" x14ac:dyDescent="0.4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</row>
    <row r="155" spans="1:30" x14ac:dyDescent="0.4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</row>
    <row r="156" spans="1:30" x14ac:dyDescent="0.4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</row>
    <row r="157" spans="1:30" x14ac:dyDescent="0.4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</row>
    <row r="158" spans="1:30" x14ac:dyDescent="0.4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</row>
    <row r="159" spans="1:30" x14ac:dyDescent="0.4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</row>
    <row r="160" spans="1:30" x14ac:dyDescent="0.4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</row>
    <row r="161" spans="1:30" x14ac:dyDescent="0.4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</row>
    <row r="162" spans="1:30" x14ac:dyDescent="0.4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</row>
    <row r="163" spans="1:30" x14ac:dyDescent="0.4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</row>
    <row r="164" spans="1:30" x14ac:dyDescent="0.4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</row>
    <row r="165" spans="1:30" x14ac:dyDescent="0.4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</row>
    <row r="166" spans="1:30" x14ac:dyDescent="0.4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</row>
    <row r="167" spans="1:30" x14ac:dyDescent="0.4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</row>
    <row r="168" spans="1:30" x14ac:dyDescent="0.4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</row>
    <row r="169" spans="1:30" x14ac:dyDescent="0.4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</row>
    <row r="170" spans="1:30" x14ac:dyDescent="0.4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</row>
    <row r="171" spans="1:30" x14ac:dyDescent="0.4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</row>
    <row r="172" spans="1:30" x14ac:dyDescent="0.4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</row>
    <row r="173" spans="1:30" x14ac:dyDescent="0.4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</row>
    <row r="174" spans="1:30" x14ac:dyDescent="0.4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</row>
    <row r="175" spans="1:30" x14ac:dyDescent="0.4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:30" x14ac:dyDescent="0.4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</row>
    <row r="177" spans="1:30" x14ac:dyDescent="0.4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</row>
    <row r="178" spans="1:30" x14ac:dyDescent="0.4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</row>
    <row r="179" spans="1:30" x14ac:dyDescent="0.4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</row>
    <row r="180" spans="1:30" x14ac:dyDescent="0.4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</row>
    <row r="181" spans="1:30" x14ac:dyDescent="0.4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</row>
    <row r="182" spans="1:30" x14ac:dyDescent="0.4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</row>
    <row r="183" spans="1:30" x14ac:dyDescent="0.4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</row>
    <row r="184" spans="1:30" x14ac:dyDescent="0.4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</row>
    <row r="185" spans="1:30" x14ac:dyDescent="0.4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</row>
    <row r="186" spans="1:30" x14ac:dyDescent="0.4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</row>
    <row r="187" spans="1:30" x14ac:dyDescent="0.4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</row>
    <row r="188" spans="1:30" x14ac:dyDescent="0.4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</row>
    <row r="189" spans="1:30" x14ac:dyDescent="0.4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</row>
    <row r="190" spans="1:30" x14ac:dyDescent="0.4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</row>
    <row r="191" spans="1:30" x14ac:dyDescent="0.4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</row>
    <row r="192" spans="1:30" x14ac:dyDescent="0.4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</row>
    <row r="193" spans="1:30" x14ac:dyDescent="0.4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</row>
    <row r="194" spans="1:30" x14ac:dyDescent="0.4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</row>
    <row r="195" spans="1:30" x14ac:dyDescent="0.4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</row>
    <row r="196" spans="1:30" x14ac:dyDescent="0.4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</row>
    <row r="197" spans="1:30" x14ac:dyDescent="0.4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</row>
    <row r="198" spans="1:30" x14ac:dyDescent="0.4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</row>
    <row r="199" spans="1:30" x14ac:dyDescent="0.4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 t="s">
        <v>270</v>
      </c>
      <c r="Z199" s="12" t="s">
        <v>271</v>
      </c>
      <c r="AA199" s="12" t="s">
        <v>272</v>
      </c>
      <c r="AB199" s="12"/>
      <c r="AC199" s="12"/>
      <c r="AD199" s="12"/>
    </row>
    <row r="200" spans="1:30" x14ac:dyDescent="0.4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 t="s">
        <v>273</v>
      </c>
      <c r="Y200" s="12" t="s">
        <v>274</v>
      </c>
      <c r="Z200" s="12" t="s">
        <v>275</v>
      </c>
      <c r="AA200" s="12" t="s">
        <v>276</v>
      </c>
      <c r="AB200" s="12"/>
      <c r="AC200" s="12"/>
      <c r="AD200" s="12"/>
    </row>
    <row r="201" spans="1:30" x14ac:dyDescent="0.4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 t="s">
        <v>277</v>
      </c>
      <c r="Y201" s="12" t="s">
        <v>278</v>
      </c>
      <c r="Z201" s="12" t="s">
        <v>279</v>
      </c>
      <c r="AA201" s="12" t="s">
        <v>280</v>
      </c>
      <c r="AB201" s="12"/>
      <c r="AC201" s="12"/>
      <c r="AD201" s="12"/>
    </row>
    <row r="202" spans="1:30" x14ac:dyDescent="0.4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 t="s">
        <v>281</v>
      </c>
      <c r="Y202" s="12" t="s">
        <v>282</v>
      </c>
      <c r="Z202" s="12" t="s">
        <v>283</v>
      </c>
      <c r="AA202" s="12" t="s">
        <v>284</v>
      </c>
      <c r="AB202" s="12"/>
      <c r="AC202" s="12"/>
      <c r="AD202" s="12"/>
    </row>
    <row r="203" spans="1:30" x14ac:dyDescent="0.4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</row>
    <row r="204" spans="1:30" x14ac:dyDescent="0.4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</row>
    <row r="205" spans="1:30" x14ac:dyDescent="0.4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</row>
    <row r="206" spans="1:30" x14ac:dyDescent="0.4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</row>
    <row r="207" spans="1:30" x14ac:dyDescent="0.4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</row>
    <row r="208" spans="1:30" x14ac:dyDescent="0.4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</row>
    <row r="209" spans="1:30" x14ac:dyDescent="0.4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</row>
    <row r="210" spans="1:30" x14ac:dyDescent="0.4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</row>
    <row r="211" spans="1:30" x14ac:dyDescent="0.4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</row>
    <row r="212" spans="1:30" x14ac:dyDescent="0.4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</row>
    <row r="213" spans="1:30" x14ac:dyDescent="0.4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</row>
    <row r="214" spans="1:30" x14ac:dyDescent="0.4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</row>
  </sheetData>
  <mergeCells count="60">
    <mergeCell ref="A9:E9"/>
    <mergeCell ref="B111:D111"/>
    <mergeCell ref="B90:D90"/>
    <mergeCell ref="A109:E109"/>
    <mergeCell ref="B102:D102"/>
    <mergeCell ref="A28:E28"/>
    <mergeCell ref="B38:E38"/>
    <mergeCell ref="B82:E82"/>
    <mergeCell ref="A63:E63"/>
    <mergeCell ref="B105:D105"/>
    <mergeCell ref="B103:E103"/>
    <mergeCell ref="A31:E31"/>
    <mergeCell ref="A2:E2"/>
    <mergeCell ref="A69:D69"/>
    <mergeCell ref="A86:E86"/>
    <mergeCell ref="B110:D110"/>
    <mergeCell ref="B32:D32"/>
    <mergeCell ref="B70:E70"/>
    <mergeCell ref="B39:E39"/>
    <mergeCell ref="A23:E23"/>
    <mergeCell ref="B100:D100"/>
    <mergeCell ref="A97:E97"/>
    <mergeCell ref="B81:D81"/>
    <mergeCell ref="A106:E106"/>
    <mergeCell ref="A53:E53"/>
    <mergeCell ref="A37:D37"/>
    <mergeCell ref="B59:D59"/>
    <mergeCell ref="B57:E57"/>
    <mergeCell ref="A1:E1"/>
    <mergeCell ref="B104:E104"/>
    <mergeCell ref="B95:E95"/>
    <mergeCell ref="A61:E61"/>
    <mergeCell ref="A93:D93"/>
    <mergeCell ref="B34:D34"/>
    <mergeCell ref="B94:E94"/>
    <mergeCell ref="A87:E87"/>
    <mergeCell ref="B99:D99"/>
    <mergeCell ref="A41:E41"/>
    <mergeCell ref="B7:E7"/>
    <mergeCell ref="B3:E3"/>
    <mergeCell ref="B65:D65"/>
    <mergeCell ref="B83:D83"/>
    <mergeCell ref="A84:E84"/>
    <mergeCell ref="A74:E74"/>
    <mergeCell ref="A30:E30"/>
    <mergeCell ref="A5:D5"/>
    <mergeCell ref="A114:E114"/>
    <mergeCell ref="B60:D60"/>
    <mergeCell ref="B98:D98"/>
    <mergeCell ref="A73:E73"/>
    <mergeCell ref="A64:E64"/>
    <mergeCell ref="B101:D101"/>
    <mergeCell ref="B6:E6"/>
    <mergeCell ref="B88:D88"/>
    <mergeCell ref="A108:E108"/>
    <mergeCell ref="B33:D33"/>
    <mergeCell ref="B89:D89"/>
    <mergeCell ref="B71:E71"/>
    <mergeCell ref="B80:D80"/>
    <mergeCell ref="B66:D66"/>
  </mergeCells>
  <conditionalFormatting sqref="A11:D21">
    <cfRule type="expression" dxfId="104" priority="7" stopIfTrue="1">
      <formula>AND($A11&lt;&gt;"",$A11=$Q11)</formula>
    </cfRule>
    <cfRule type="expression" dxfId="103" priority="8" stopIfTrue="1">
      <formula>$A11&lt;&gt;""</formula>
    </cfRule>
  </conditionalFormatting>
  <conditionalFormatting sqref="A114:E114">
    <cfRule type="expression" dxfId="102" priority="5" stopIfTrue="1">
      <formula>MIN($Z$2,$Z$1)&gt;=$Z$1</formula>
    </cfRule>
    <cfRule type="expression" dxfId="101" priority="6" stopIfTrue="1">
      <formula>MIN($Z$2,$Z$1)&lt;$Z$1</formula>
    </cfRule>
  </conditionalFormatting>
  <conditionalFormatting sqref="B3:D3">
    <cfRule type="dataBar" priority="1">
      <dataBar>
        <cfvo type="num" val="0"/>
        <cfvo type="num" val="1"/>
        <color rgb="FF27AE60"/>
      </dataBar>
    </cfRule>
  </conditionalFormatting>
  <conditionalFormatting sqref="B76:D78">
    <cfRule type="expression" dxfId="100" priority="2" stopIfTrue="1">
      <formula>ISNUMBER(SEARCH("VOUS ÊTES ICI",B76))</formula>
    </cfRule>
    <cfRule type="expression" dxfId="99" priority="3" stopIfTrue="1">
      <formula>ISNUMBER(SEARCH("PROCHAIN PAS",B76))</formula>
    </cfRule>
    <cfRule type="expression" dxfId="98" priority="4" stopIfTrue="1">
      <formula>ISNUMBER(SEARCH("DESTINATION",B76))</formula>
    </cfRule>
  </conditionalFormatting>
  <conditionalFormatting sqref="B32:E34">
    <cfRule type="expression" dxfId="97" priority="9" stopIfTrue="1">
      <formula>AND($B32&lt;&gt;"",$B32=$Q32)</formula>
    </cfRule>
    <cfRule type="expression" dxfId="96" priority="10" stopIfTrue="1">
      <formula>$B32&lt;&gt;""</formula>
    </cfRule>
  </conditionalFormatting>
  <conditionalFormatting sqref="B59:E60">
    <cfRule type="expression" dxfId="95" priority="17" stopIfTrue="1">
      <formula>AND($B59&lt;&gt;"",$B59=$Q59)</formula>
    </cfRule>
    <cfRule type="expression" dxfId="94" priority="18" stopIfTrue="1">
      <formula>$B59&lt;&gt;""</formula>
    </cfRule>
  </conditionalFormatting>
  <conditionalFormatting sqref="B65:E66">
    <cfRule type="expression" dxfId="93" priority="21" stopIfTrue="1">
      <formula>AND($B65&lt;&gt;"",$B65=$Q65)</formula>
    </cfRule>
    <cfRule type="expression" dxfId="92" priority="22" stopIfTrue="1">
      <formula>$B65&lt;&gt;""</formula>
    </cfRule>
  </conditionalFormatting>
  <conditionalFormatting sqref="B80:E81">
    <cfRule type="expression" dxfId="91" priority="25" stopIfTrue="1">
      <formula>AND($B80&lt;&gt;"",$B80=$Q80)</formula>
    </cfRule>
    <cfRule type="expression" dxfId="90" priority="26" stopIfTrue="1">
      <formula>$B80&lt;&gt;""</formula>
    </cfRule>
  </conditionalFormatting>
  <conditionalFormatting sqref="B83:E83">
    <cfRule type="expression" dxfId="89" priority="29" stopIfTrue="1">
      <formula>AND($B83&lt;&gt;"",$B83=$Q83)</formula>
    </cfRule>
    <cfRule type="expression" dxfId="88" priority="30" stopIfTrue="1">
      <formula>$B83&lt;&gt;""</formula>
    </cfRule>
  </conditionalFormatting>
  <conditionalFormatting sqref="B88:E90">
    <cfRule type="expression" dxfId="87" priority="32" stopIfTrue="1">
      <formula>$B88&lt;&gt;""</formula>
    </cfRule>
    <cfRule type="expression" dxfId="86" priority="31" stopIfTrue="1">
      <formula>AND($B88&lt;&gt;"",$B88=$Q88)</formula>
    </cfRule>
  </conditionalFormatting>
  <conditionalFormatting sqref="B98:E102">
    <cfRule type="expression" dxfId="85" priority="38" stopIfTrue="1">
      <formula>$B98&lt;&gt;""</formula>
    </cfRule>
    <cfRule type="expression" dxfId="84" priority="37" stopIfTrue="1">
      <formula>AND($B98&lt;&gt;"",$B98=$Q98)</formula>
    </cfRule>
  </conditionalFormatting>
  <conditionalFormatting sqref="B105:E105">
    <cfRule type="expression" dxfId="83" priority="48" stopIfTrue="1">
      <formula>$B105&lt;&gt;""</formula>
    </cfRule>
    <cfRule type="expression" dxfId="82" priority="47" stopIfTrue="1">
      <formula>AND($B105&lt;&gt;"",$B105=$Q105)</formula>
    </cfRule>
  </conditionalFormatting>
  <conditionalFormatting sqref="B110:E111">
    <cfRule type="expression" dxfId="81" priority="50" stopIfTrue="1">
      <formula>$B110&lt;&gt;""</formula>
    </cfRule>
    <cfRule type="expression" dxfId="80" priority="49" stopIfTrue="1">
      <formula>AND($B110&lt;&gt;"",$B110=$Q110)</formula>
    </cfRule>
  </conditionalFormatting>
  <conditionalFormatting sqref="D43:D51">
    <cfRule type="expression" dxfId="79" priority="15" stopIfTrue="1">
      <formula>AND($D43&lt;&gt;"",$D43=$Q43)</formula>
    </cfRule>
    <cfRule type="expression" dxfId="78" priority="16" stopIfTrue="1">
      <formula>$D43&lt;&gt;""</formula>
    </cfRule>
  </conditionalFormatting>
  <conditionalFormatting sqref="E5">
    <cfRule type="cellIs" dxfId="77" priority="55" operator="equal">
      <formula>"À faire"</formula>
    </cfRule>
    <cfRule type="cellIs" dxfId="76" priority="54" operator="equal">
      <formula>"En cours"</formula>
    </cfRule>
    <cfRule type="cellIs" dxfId="75" priority="53" operator="equal">
      <formula>"Fait"</formula>
    </cfRule>
  </conditionalFormatting>
  <conditionalFormatting sqref="E37">
    <cfRule type="cellIs" dxfId="74" priority="58" operator="equal">
      <formula>"À faire"</formula>
    </cfRule>
    <cfRule type="cellIs" dxfId="73" priority="56" operator="equal">
      <formula>"Fait"</formula>
    </cfRule>
    <cfRule type="cellIs" dxfId="72" priority="57" operator="equal">
      <formula>"En cours"</formula>
    </cfRule>
  </conditionalFormatting>
  <conditionalFormatting sqref="E69">
    <cfRule type="cellIs" dxfId="71" priority="59" operator="equal">
      <formula>"Fait"</formula>
    </cfRule>
    <cfRule type="cellIs" dxfId="70" priority="60" operator="equal">
      <formula>"En cours"</formula>
    </cfRule>
    <cfRule type="cellIs" dxfId="69" priority="61" operator="equal">
      <formula>"À faire"</formula>
    </cfRule>
  </conditionalFormatting>
  <conditionalFormatting sqref="E93">
    <cfRule type="cellIs" dxfId="68" priority="62" operator="equal">
      <formula>"Fait"</formula>
    </cfRule>
    <cfRule type="cellIs" dxfId="67" priority="63" operator="equal">
      <formula>"En cours"</formula>
    </cfRule>
    <cfRule type="cellIs" dxfId="66" priority="64" operator="equal">
      <formula>"À faire"</formula>
    </cfRule>
  </conditionalFormatting>
  <dataValidations count="8">
    <dataValidation type="list" allowBlank="1" error="Choisissez une valeur dans la liste." sqref="B11 B12 B13 B14 B15 B16 B17 B18 B19 B20 B21" xr:uid="{00000000-0002-0000-0300-000000000000}">
      <formula1>"Automatisable,Augmentable,Irremplaçable"</formula1>
    </dataValidation>
    <dataValidation type="list" allowBlank="1" error="Choisissez une valeur dans la liste." sqref="D11 D12 D13 D14 D15 D16 D17 D18 D19 D20 D21" xr:uid="{00000000-0002-0000-0300-000001000000}">
      <formula1>"●,●●,●●●"</formula1>
    </dataValidation>
    <dataValidation type="list" allowBlank="1" error="Choisissez une valeur dans la liste." sqref="B34" xr:uid="{00000000-0002-0000-0300-000002000000}">
      <formula1>"Plutôt des blocs,Plutôt un tissage"</formula1>
    </dataValidation>
    <dataValidation type="list" allowBlank="1" error="Choisissez une valeur dans la liste." sqref="D43 D44 D45 D46 D47 D48 D49 D50 D51" xr:uid="{00000000-0002-0000-0300-000003000000}">
      <formula1>"A,B,C"</formula1>
    </dataValidation>
    <dataValidation type="list" allowBlank="1" error="Choisissez une valeur dans la liste." sqref="B59" xr:uid="{00000000-0002-0000-0300-000004000000}">
      <formula1>"A — spectateur,B — adaptateur,C — stratège"</formula1>
    </dataValidation>
    <dataValidation type="list" allowBlank="1" error="Choisissez une valeur dans la liste." sqref="B80" xr:uid="{00000000-0002-0000-0300-000005000000}">
      <formula1>"Plutôt irremplaçables,Plutôt augmentables,Plutôt automatisables"</formula1>
    </dataValidation>
    <dataValidation type="list" allowBlank="1" error="Choisissez une valeur dans la liste." sqref="B81" xr:uid="{00000000-0002-0000-0300-000006000000}">
      <formula1>"Spectateur (A),Adaptateur (B),Stratège (C)"</formula1>
    </dataValidation>
    <dataValidation type="list" allowBlank="1" error="Choisissez une valeur dans la liste." sqref="B102" xr:uid="{00000000-0002-0000-0300-000007000000}">
      <formula1>"Porteur,Qui s’affaisse,Qui se polarise"</formula1>
    </dataValidation>
  </dataValidations>
  <printOptions horizontalCentered="1"/>
  <pageMargins left="0.4" right="0.4" top="0.5" bottom="0.5" header="0.5" footer="0.5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A56DB"/>
    <outlinePr summaryBelow="0"/>
    <pageSetUpPr fitToPage="1"/>
  </sheetPr>
  <dimension ref="A1:AC103"/>
  <sheetViews>
    <sheetView showGridLines="0" workbookViewId="0">
      <pane ySplit="3" topLeftCell="A4" activePane="bottomLeft" state="frozen"/>
      <selection pane="bottomLeft" activeCell="G30" sqref="G30"/>
    </sheetView>
  </sheetViews>
  <sheetFormatPr baseColWidth="10" defaultColWidth="9.06640625" defaultRowHeight="14.25" outlineLevelRow="1" x14ac:dyDescent="0.45"/>
  <cols>
    <col min="1" max="1" width="42" customWidth="1"/>
    <col min="2" max="2" width="38" customWidth="1"/>
    <col min="3" max="3" width="24" customWidth="1"/>
    <col min="4" max="4" width="16" customWidth="1"/>
    <col min="5" max="5" width="8" customWidth="1"/>
    <col min="17" max="17" width="13" hidden="1" customWidth="1"/>
    <col min="24" max="26" width="6" hidden="1" customWidth="1"/>
    <col min="27" max="27" width="13" hidden="1" customWidth="1"/>
  </cols>
  <sheetData>
    <row r="1" spans="1:29" ht="30" customHeight="1" x14ac:dyDescent="0.45">
      <c r="A1" s="72" t="s">
        <v>285</v>
      </c>
      <c r="B1" s="47"/>
      <c r="C1" s="47"/>
      <c r="D1" s="47"/>
      <c r="E1" s="47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>
        <f>3+IF(OR(ISNUMBER(SEARCH("Changer de terrain",'2 Se situer'!B104)),ISNUMBER(SEARCH("Commencer par la preuve",'2 Se situer'!B104))),1,0)</f>
        <v>3</v>
      </c>
      <c r="AA1" s="12"/>
      <c r="AB1" s="12"/>
      <c r="AC1" s="12"/>
    </row>
    <row r="2" spans="1:29" ht="16.05" customHeight="1" x14ac:dyDescent="0.45">
      <c r="A2" s="57" t="s">
        <v>286</v>
      </c>
      <c r="B2" s="47"/>
      <c r="C2" s="47"/>
      <c r="D2" s="47"/>
      <c r="E2" s="47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>
        <f>Z5+Z27+Z47+Z68</f>
        <v>0</v>
      </c>
      <c r="AA2" s="12"/>
      <c r="AB2" s="12"/>
      <c r="AC2" s="12"/>
    </row>
    <row r="3" spans="1:29" ht="22.05" customHeight="1" x14ac:dyDescent="0.45">
      <c r="A3" s="26" t="str">
        <f>"Votre avancée : "&amp;Z2&amp;" geste"&amp;IF(Z2&gt;1,"s","")&amp;" sur "&amp;Z1</f>
        <v>Votre avancée : 0 geste sur 3</v>
      </c>
      <c r="B3" s="74">
        <f>IF(Z1=0,0,Z2/Z1)</f>
        <v>0</v>
      </c>
      <c r="C3" s="47"/>
      <c r="D3" s="47"/>
      <c r="E3" s="47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x14ac:dyDescent="0.4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26" customHeight="1" x14ac:dyDescent="0.45">
      <c r="A5" s="51" t="s">
        <v>287</v>
      </c>
      <c r="B5" s="66"/>
      <c r="C5" s="66"/>
      <c r="D5" s="66"/>
      <c r="E5" s="27" t="str">
        <f>IF(Y5=0,"",IF(X5=0,"À faire",IF(X5&lt;Y5,"En cours","Fait")))</f>
        <v>À faire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>
        <f>--(TRIM(B10)&lt;&gt;TRIM(Q10))+--(TRIM(B11)&lt;&gt;TRIM(Q11))+--(TRIM(B12)&lt;&gt;TRIM(Q12))+--(TRIM(B13)&lt;&gt;TRIM(Q13))+--(TRIM(B15)&lt;&gt;TRIM(Q15))+--(TRIM(B16)&lt;&gt;TRIM(Q16))+--(TRIM(B17)&lt;&gt;TRIM(Q17))+--(TRIM(B18)&lt;&gt;TRIM(Q18))</f>
        <v>0</v>
      </c>
      <c r="Y5" s="12">
        <v>8</v>
      </c>
      <c r="Z5" s="12">
        <f>IF(E5="Fait",1,0)</f>
        <v>0</v>
      </c>
      <c r="AA5" s="12"/>
      <c r="AB5" s="12"/>
      <c r="AC5" s="12"/>
    </row>
    <row r="6" spans="1:29" ht="30" customHeight="1" x14ac:dyDescent="0.45">
      <c r="A6" s="28" t="s">
        <v>112</v>
      </c>
      <c r="B6" s="71" t="s">
        <v>288</v>
      </c>
      <c r="C6" s="47"/>
      <c r="D6" s="47"/>
      <c r="E6" s="47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8.05" customHeight="1" x14ac:dyDescent="0.45">
      <c r="A7" s="28" t="s">
        <v>114</v>
      </c>
      <c r="B7" s="73" t="s">
        <v>289</v>
      </c>
      <c r="C7" s="47"/>
      <c r="D7" s="47"/>
      <c r="E7" s="47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x14ac:dyDescent="0.4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16.05" customHeight="1" x14ac:dyDescent="0.45">
      <c r="A9" s="75" t="s">
        <v>116</v>
      </c>
      <c r="B9" s="47"/>
      <c r="C9" s="47"/>
      <c r="D9" s="47"/>
      <c r="E9" s="4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0" customHeight="1" x14ac:dyDescent="0.45">
      <c r="A10" s="29" t="s">
        <v>290</v>
      </c>
      <c r="B10" s="67" t="s">
        <v>291</v>
      </c>
      <c r="C10" s="68"/>
      <c r="D10" s="69"/>
      <c r="E10" s="31" t="str">
        <f>IF(AND(B10&lt;&gt;"",B10&lt;&gt;Q10),"✔","")</f>
        <v/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 t="s">
        <v>291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20" customHeight="1" x14ac:dyDescent="0.45">
      <c r="A11" s="29" t="s">
        <v>292</v>
      </c>
      <c r="B11" s="67"/>
      <c r="C11" s="68"/>
      <c r="D11" s="69"/>
      <c r="E11" s="31" t="str">
        <f>IF(AND(B11&lt;&gt;"",B11&lt;&gt;Q11),"✔","")</f>
        <v/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20" customHeight="1" x14ac:dyDescent="0.45">
      <c r="A12" s="29" t="s">
        <v>293</v>
      </c>
      <c r="B12" s="67"/>
      <c r="C12" s="68"/>
      <c r="D12" s="69"/>
      <c r="E12" s="31" t="str">
        <f>IF(AND(B12&lt;&gt;"",B12&lt;&gt;Q12),"✔","")</f>
        <v/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ht="20" customHeight="1" x14ac:dyDescent="0.45">
      <c r="A13" s="29" t="s">
        <v>294</v>
      </c>
      <c r="B13" s="67"/>
      <c r="C13" s="68"/>
      <c r="D13" s="69"/>
      <c r="E13" s="31" t="str">
        <f>IF(AND(B13&lt;&gt;"",B13&lt;&gt;Q13),"✔","")</f>
        <v/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x14ac:dyDescent="0.45">
      <c r="A14" s="39" t="s">
        <v>295</v>
      </c>
      <c r="B14" s="73" t="str">
        <f>IF(COUNTA(B11:B13)&lt;3,"",IF(COUNTIF(B11:B13,"Oui")=3,"Confiez, sans culpabilité.","Gardez-la encore : elle n’a pas fini son travail sur vous."))</f>
        <v/>
      </c>
      <c r="C14" s="47"/>
      <c r="D14" s="47"/>
      <c r="E14" s="47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ht="28.05" customHeight="1" x14ac:dyDescent="0.45">
      <c r="A15" s="29" t="s">
        <v>296</v>
      </c>
      <c r="B15" s="67" t="s">
        <v>297</v>
      </c>
      <c r="C15" s="68"/>
      <c r="D15" s="69"/>
      <c r="E15" s="31" t="str">
        <f>IF(AND(B15&lt;&gt;"",B15&lt;&gt;Q15),"✔","")</f>
        <v/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 t="s">
        <v>297</v>
      </c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28.05" customHeight="1" x14ac:dyDescent="0.45">
      <c r="A16" s="29" t="s">
        <v>298</v>
      </c>
      <c r="B16" s="67" t="s">
        <v>299</v>
      </c>
      <c r="C16" s="68"/>
      <c r="D16" s="69"/>
      <c r="E16" s="31" t="str">
        <f>IF(AND(B16&lt;&gt;"",B16&lt;&gt;Q16),"✔","")</f>
        <v/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 t="s">
        <v>299</v>
      </c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ht="20" customHeight="1" x14ac:dyDescent="0.45">
      <c r="A17" s="29" t="s">
        <v>300</v>
      </c>
      <c r="B17" s="67" t="s">
        <v>301</v>
      </c>
      <c r="C17" s="68"/>
      <c r="D17" s="69"/>
      <c r="E17" s="31" t="str">
        <f>IF(AND(B17&lt;&gt;"",B17&lt;&gt;Q17),"✔","")</f>
        <v/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 t="s">
        <v>301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ht="28.05" customHeight="1" x14ac:dyDescent="0.45">
      <c r="A18" s="29" t="s">
        <v>302</v>
      </c>
      <c r="B18" s="67" t="s">
        <v>303</v>
      </c>
      <c r="C18" s="68"/>
      <c r="D18" s="69"/>
      <c r="E18" s="31" t="str">
        <f>IF(AND(B18&lt;&gt;"",B18&lt;&gt;Q18),"✔","")</f>
        <v/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 t="s">
        <v>303</v>
      </c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ht="26" customHeight="1" x14ac:dyDescent="0.45">
      <c r="A19" s="48" t="s">
        <v>304</v>
      </c>
      <c r="B19" s="47"/>
      <c r="C19" s="47"/>
      <c r="D19" s="47"/>
      <c r="E19" s="47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x14ac:dyDescent="0.4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ht="18" customHeight="1" collapsed="1" x14ac:dyDescent="0.45">
      <c r="A21" s="70" t="s">
        <v>305</v>
      </c>
      <c r="B21" s="47"/>
      <c r="C21" s="47"/>
      <c r="D21" s="47"/>
      <c r="E21" s="47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26" hidden="1" customHeight="1" outlineLevel="1" x14ac:dyDescent="0.45">
      <c r="A22" s="48" t="s">
        <v>306</v>
      </c>
      <c r="B22" s="47"/>
      <c r="C22" s="47"/>
      <c r="D22" s="47"/>
      <c r="E22" s="47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28.05" hidden="1" customHeight="1" outlineLevel="1" x14ac:dyDescent="0.45">
      <c r="A23" s="29" t="s">
        <v>307</v>
      </c>
      <c r="B23" s="67" t="s">
        <v>308</v>
      </c>
      <c r="C23" s="68"/>
      <c r="D23" s="69"/>
      <c r="E23" s="31" t="str">
        <f>IF(AND(B23&lt;&gt;"",B23&lt;&gt;Q23),"✔","")</f>
        <v/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 t="s">
        <v>308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ht="28.05" hidden="1" customHeight="1" outlineLevel="1" x14ac:dyDescent="0.45">
      <c r="A24" s="29" t="s">
        <v>309</v>
      </c>
      <c r="B24" s="67" t="s">
        <v>310</v>
      </c>
      <c r="C24" s="68"/>
      <c r="D24" s="69"/>
      <c r="E24" s="31" t="str">
        <f>IF(AND(B24&lt;&gt;"",B24&lt;&gt;Q24),"✔","")</f>
        <v/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 t="s">
        <v>310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x14ac:dyDescent="0.4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x14ac:dyDescent="0.4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 ht="26" customHeight="1" x14ac:dyDescent="0.45">
      <c r="A27" s="51" t="s">
        <v>311</v>
      </c>
      <c r="B27" s="66"/>
      <c r="C27" s="66"/>
      <c r="D27" s="66"/>
      <c r="E27" s="27" t="str">
        <f>IF(Y27=0,"",IF(X27=0,"À faire",IF(X27&lt;Y27,"En cours","Fait")))</f>
        <v>À faire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>
        <f>--(TRIM(B32)&lt;&gt;TRIM(Q32))+--(TRIM(B33)&lt;&gt;TRIM(Q33))+--(TRIM(B34)&lt;&gt;TRIM(Q34))+--(TRIM(B35)&lt;&gt;TRIM(Q35))+--(TRIM(B36)&lt;&gt;TRIM(Q36))+--(TRIM(B37)&lt;&gt;TRIM(Q37))</f>
        <v>0</v>
      </c>
      <c r="Y27" s="12">
        <v>6</v>
      </c>
      <c r="Z27" s="12">
        <f>IF(E27="Fait",1,0)</f>
        <v>0</v>
      </c>
      <c r="AA27" s="12"/>
      <c r="AB27" s="12"/>
      <c r="AC27" s="12"/>
    </row>
    <row r="28" spans="1:29" ht="30" customHeight="1" x14ac:dyDescent="0.45">
      <c r="A28" s="28" t="s">
        <v>112</v>
      </c>
      <c r="B28" s="71" t="s">
        <v>312</v>
      </c>
      <c r="C28" s="47"/>
      <c r="D28" s="47"/>
      <c r="E28" s="47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ht="28.05" customHeight="1" x14ac:dyDescent="0.45">
      <c r="A29" s="28" t="s">
        <v>114</v>
      </c>
      <c r="B29" s="73" t="s">
        <v>313</v>
      </c>
      <c r="C29" s="47"/>
      <c r="D29" s="47"/>
      <c r="E29" s="47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 x14ac:dyDescent="0.4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ht="16.05" customHeight="1" x14ac:dyDescent="0.45">
      <c r="A31" s="75" t="s">
        <v>116</v>
      </c>
      <c r="B31" s="47"/>
      <c r="C31" s="47"/>
      <c r="D31" s="47"/>
      <c r="E31" s="47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 ht="20" customHeight="1" x14ac:dyDescent="0.45">
      <c r="A32" s="29" t="s">
        <v>314</v>
      </c>
      <c r="B32" s="67" t="s">
        <v>315</v>
      </c>
      <c r="C32" s="68"/>
      <c r="D32" s="69"/>
      <c r="E32" s="31" t="str">
        <f t="shared" ref="E32:E37" si="0">IF(AND(B32&lt;&gt;"",B32&lt;&gt;Q32),"✔","")</f>
        <v/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 t="s">
        <v>315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ht="20" customHeight="1" x14ac:dyDescent="0.45">
      <c r="A33" s="29" t="s">
        <v>316</v>
      </c>
      <c r="B33" s="67" t="s">
        <v>317</v>
      </c>
      <c r="C33" s="68"/>
      <c r="D33" s="69"/>
      <c r="E33" s="31" t="str">
        <f t="shared" si="0"/>
        <v/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 t="s">
        <v>317</v>
      </c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ht="20" customHeight="1" x14ac:dyDescent="0.45">
      <c r="A34" s="29" t="s">
        <v>318</v>
      </c>
      <c r="B34" s="67" t="s">
        <v>319</v>
      </c>
      <c r="C34" s="68"/>
      <c r="D34" s="69"/>
      <c r="E34" s="31" t="str">
        <f t="shared" si="0"/>
        <v/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 t="s">
        <v>319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ht="20" customHeight="1" x14ac:dyDescent="0.45">
      <c r="A35" s="29" t="s">
        <v>320</v>
      </c>
      <c r="B35" s="67" t="s">
        <v>321</v>
      </c>
      <c r="C35" s="68"/>
      <c r="D35" s="69"/>
      <c r="E35" s="31" t="str">
        <f t="shared" si="0"/>
        <v/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 t="s">
        <v>321</v>
      </c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ht="28.05" customHeight="1" x14ac:dyDescent="0.45">
      <c r="A36" s="29" t="s">
        <v>322</v>
      </c>
      <c r="B36" s="67" t="s">
        <v>323</v>
      </c>
      <c r="C36" s="68"/>
      <c r="D36" s="69"/>
      <c r="E36" s="31" t="str">
        <f t="shared" si="0"/>
        <v/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 t="s">
        <v>323</v>
      </c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ht="20" customHeight="1" x14ac:dyDescent="0.45">
      <c r="A37" s="29" t="s">
        <v>324</v>
      </c>
      <c r="B37" s="67"/>
      <c r="C37" s="68"/>
      <c r="D37" s="69"/>
      <c r="E37" s="31" t="str">
        <f t="shared" si="0"/>
        <v/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ht="16.05" customHeight="1" x14ac:dyDescent="0.45">
      <c r="A38" s="48" t="s">
        <v>325</v>
      </c>
      <c r="B38" s="47"/>
      <c r="C38" s="47"/>
      <c r="D38" s="47"/>
      <c r="E38" s="4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x14ac:dyDescent="0.4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ht="18" customHeight="1" collapsed="1" x14ac:dyDescent="0.45">
      <c r="A40" s="70" t="s">
        <v>326</v>
      </c>
      <c r="B40" s="47"/>
      <c r="C40" s="47"/>
      <c r="D40" s="47"/>
      <c r="E40" s="47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29" ht="26" hidden="1" customHeight="1" outlineLevel="1" x14ac:dyDescent="0.45">
      <c r="A41" s="48" t="s">
        <v>327</v>
      </c>
      <c r="B41" s="47"/>
      <c r="C41" s="47"/>
      <c r="D41" s="47"/>
      <c r="E41" s="47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 ht="28.05" hidden="1" customHeight="1" outlineLevel="1" x14ac:dyDescent="0.45">
      <c r="A42" s="29" t="s">
        <v>328</v>
      </c>
      <c r="B42" s="67" t="s">
        <v>329</v>
      </c>
      <c r="C42" s="68"/>
      <c r="D42" s="69"/>
      <c r="E42" s="31" t="str">
        <f>IF(AND(B42&lt;&gt;"",B42&lt;&gt;Q42),"✔","")</f>
        <v/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 t="s">
        <v>329</v>
      </c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ht="28.05" hidden="1" customHeight="1" outlineLevel="1" x14ac:dyDescent="0.45">
      <c r="A43" s="29" t="s">
        <v>330</v>
      </c>
      <c r="B43" s="67"/>
      <c r="C43" s="68"/>
      <c r="D43" s="69"/>
      <c r="E43" s="31" t="str">
        <f>IF(AND(B43&lt;&gt;"",B43&lt;&gt;Q43),"✔","")</f>
        <v/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ht="28.05" hidden="1" customHeight="1" outlineLevel="1" x14ac:dyDescent="0.45">
      <c r="A44" s="29" t="s">
        <v>331</v>
      </c>
      <c r="B44" s="67" t="s">
        <v>332</v>
      </c>
      <c r="C44" s="68"/>
      <c r="D44" s="69"/>
      <c r="E44" s="31" t="str">
        <f>IF(AND(B44&lt;&gt;"",B44&lt;&gt;Q44),"✔","")</f>
        <v/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 t="s">
        <v>332</v>
      </c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x14ac:dyDescent="0.4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x14ac:dyDescent="0.4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ht="26" customHeight="1" x14ac:dyDescent="0.45">
      <c r="A47" s="51" t="s">
        <v>333</v>
      </c>
      <c r="B47" s="66"/>
      <c r="C47" s="66"/>
      <c r="D47" s="66"/>
      <c r="E47" s="27" t="str">
        <f>IF(Y47=0,"",IF(X47=0,"À faire",IF(X47&lt;Y47,"En cours","Fait")))</f>
        <v>À faire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>
        <f>--(TRIM(B53)&lt;&gt;TRIM(Q53))+--(TRIM(B54)&lt;&gt;TRIM(Q54))+--(TRIM(B55)&lt;&gt;TRIM(Q55))</f>
        <v>0</v>
      </c>
      <c r="Y47" s="12">
        <v>3</v>
      </c>
      <c r="Z47" s="12">
        <f>IF(E47="Fait",1,0)</f>
        <v>0</v>
      </c>
      <c r="AA47" s="12"/>
      <c r="AB47" s="12"/>
      <c r="AC47" s="12"/>
    </row>
    <row r="48" spans="1:29" ht="26" customHeight="1" x14ac:dyDescent="0.45">
      <c r="A48" s="80" t="s">
        <v>334</v>
      </c>
      <c r="B48" s="47"/>
      <c r="C48" s="47"/>
      <c r="D48" s="47"/>
      <c r="E48" s="47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ht="30" customHeight="1" x14ac:dyDescent="0.45">
      <c r="A49" s="28" t="s">
        <v>112</v>
      </c>
      <c r="B49" s="71" t="s">
        <v>335</v>
      </c>
      <c r="C49" s="47"/>
      <c r="D49" s="47"/>
      <c r="E49" s="47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ht="28.05" customHeight="1" x14ac:dyDescent="0.45">
      <c r="A50" s="28" t="s">
        <v>114</v>
      </c>
      <c r="B50" s="73" t="s">
        <v>336</v>
      </c>
      <c r="C50" s="47"/>
      <c r="D50" s="47"/>
      <c r="E50" s="47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x14ac:dyDescent="0.4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ht="16.05" customHeight="1" x14ac:dyDescent="0.45">
      <c r="A52" s="75" t="s">
        <v>116</v>
      </c>
      <c r="B52" s="47"/>
      <c r="C52" s="47"/>
      <c r="D52" s="47"/>
      <c r="E52" s="47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ht="20" customHeight="1" x14ac:dyDescent="0.45">
      <c r="A53" s="29" t="s">
        <v>337</v>
      </c>
      <c r="B53" s="67" t="s">
        <v>338</v>
      </c>
      <c r="C53" s="68"/>
      <c r="D53" s="69"/>
      <c r="E53" s="31" t="str">
        <f>IF(AND(B53&lt;&gt;"",B53&lt;&gt;Q53),"✔","")</f>
        <v/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 t="s">
        <v>338</v>
      </c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ht="28.05" customHeight="1" x14ac:dyDescent="0.45">
      <c r="A54" s="29" t="s">
        <v>339</v>
      </c>
      <c r="B54" s="67" t="s">
        <v>340</v>
      </c>
      <c r="C54" s="68"/>
      <c r="D54" s="69"/>
      <c r="E54" s="31" t="str">
        <f>IF(AND(B54&lt;&gt;"",B54&lt;&gt;Q54),"✔","")</f>
        <v/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 t="s">
        <v>340</v>
      </c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ht="20" customHeight="1" x14ac:dyDescent="0.45">
      <c r="A55" s="29" t="s">
        <v>341</v>
      </c>
      <c r="B55" s="67" t="s">
        <v>342</v>
      </c>
      <c r="C55" s="68"/>
      <c r="D55" s="69"/>
      <c r="E55" s="31" t="str">
        <f>IF(AND(B55&lt;&gt;"",B55&lt;&gt;Q55),"✔","")</f>
        <v/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 t="s">
        <v>342</v>
      </c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ht="16.05" customHeight="1" x14ac:dyDescent="0.45">
      <c r="A56" s="48" t="s">
        <v>343</v>
      </c>
      <c r="B56" s="47"/>
      <c r="C56" s="47"/>
      <c r="D56" s="47"/>
      <c r="E56" s="47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spans="1:29" x14ac:dyDescent="0.4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spans="1:29" ht="18" customHeight="1" collapsed="1" x14ac:dyDescent="0.45">
      <c r="A58" s="70" t="s">
        <v>344</v>
      </c>
      <c r="B58" s="47"/>
      <c r="C58" s="47"/>
      <c r="D58" s="47"/>
      <c r="E58" s="4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spans="1:29" ht="16.05" hidden="1" customHeight="1" outlineLevel="1" x14ac:dyDescent="0.45">
      <c r="A59" s="48" t="s">
        <v>345</v>
      </c>
      <c r="B59" s="47"/>
      <c r="C59" s="47"/>
      <c r="D59" s="47"/>
      <c r="E59" s="47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spans="1:29" ht="20" hidden="1" customHeight="1" outlineLevel="1" x14ac:dyDescent="0.45">
      <c r="A60" s="29" t="s">
        <v>346</v>
      </c>
      <c r="B60" s="67"/>
      <c r="C60" s="68"/>
      <c r="D60" s="69"/>
      <c r="E60" s="31" t="str">
        <f t="shared" ref="E60:E65" si="1">IF(AND(B60&lt;&gt;"",B60&lt;&gt;Q60),"✔","")</f>
        <v/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spans="1:29" ht="28.05" hidden="1" customHeight="1" outlineLevel="1" x14ac:dyDescent="0.45">
      <c r="A61" s="29" t="s">
        <v>347</v>
      </c>
      <c r="B61" s="67" t="s">
        <v>348</v>
      </c>
      <c r="C61" s="68"/>
      <c r="D61" s="69"/>
      <c r="E61" s="31" t="str">
        <f t="shared" si="1"/>
        <v/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 t="s">
        <v>348</v>
      </c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spans="1:29" ht="28.05" hidden="1" customHeight="1" outlineLevel="1" x14ac:dyDescent="0.45">
      <c r="A62" s="29" t="s">
        <v>349</v>
      </c>
      <c r="B62" s="67" t="s">
        <v>350</v>
      </c>
      <c r="C62" s="68"/>
      <c r="D62" s="69"/>
      <c r="E62" s="31" t="str">
        <f t="shared" si="1"/>
        <v/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 t="s">
        <v>350</v>
      </c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spans="1:29" ht="28.05" hidden="1" customHeight="1" outlineLevel="1" x14ac:dyDescent="0.45">
      <c r="A63" s="29" t="s">
        <v>351</v>
      </c>
      <c r="B63" s="67" t="s">
        <v>352</v>
      </c>
      <c r="C63" s="68"/>
      <c r="D63" s="69"/>
      <c r="E63" s="31" t="str">
        <f t="shared" si="1"/>
        <v/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 t="s">
        <v>352</v>
      </c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spans="1:29" ht="20" hidden="1" customHeight="1" outlineLevel="1" x14ac:dyDescent="0.45">
      <c r="A64" s="29" t="s">
        <v>353</v>
      </c>
      <c r="B64" s="67" t="s">
        <v>354</v>
      </c>
      <c r="C64" s="68"/>
      <c r="D64" s="69"/>
      <c r="E64" s="31" t="str">
        <f t="shared" si="1"/>
        <v/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 t="s">
        <v>354</v>
      </c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spans="1:29" ht="20" hidden="1" customHeight="1" outlineLevel="1" x14ac:dyDescent="0.45">
      <c r="A65" s="29" t="s">
        <v>355</v>
      </c>
      <c r="B65" s="67" t="s">
        <v>356</v>
      </c>
      <c r="C65" s="68"/>
      <c r="D65" s="69"/>
      <c r="E65" s="31" t="str">
        <f t="shared" si="1"/>
        <v/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 t="s">
        <v>356</v>
      </c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spans="1:29" x14ac:dyDescent="0.4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spans="1:29" x14ac:dyDescent="0.4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spans="1:29" ht="26" customHeight="1" x14ac:dyDescent="0.45">
      <c r="A68" s="51" t="s">
        <v>357</v>
      </c>
      <c r="B68" s="66"/>
      <c r="C68" s="66"/>
      <c r="D68" s="66"/>
      <c r="E68" s="27" t="str">
        <f>IF(Y68=0,"",IF(X68=0,"À faire",IF(X68&lt;Y68,"En cours","Fait")))</f>
        <v>À faire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>
        <f>--(TRIM(B77)&lt;&gt;TRIM(Q77))+--(TRIM(B78)&lt;&gt;TRIM(Q78))+--(TRIM(B79)&lt;&gt;TRIM(Q79))+--(TRIM(B80)&lt;&gt;TRIM(Q80))+--(TRIM(B81)&lt;&gt;TRIM(Q81))</f>
        <v>0</v>
      </c>
      <c r="Y68" s="12">
        <v>5</v>
      </c>
      <c r="Z68" s="12">
        <f>IF(E68="Fait",1,0)</f>
        <v>0</v>
      </c>
      <c r="AA68" s="12"/>
      <c r="AB68" s="12"/>
      <c r="AC68" s="12"/>
    </row>
    <row r="69" spans="1:29" ht="30" customHeight="1" x14ac:dyDescent="0.45">
      <c r="A69" s="28" t="s">
        <v>112</v>
      </c>
      <c r="B69" s="71" t="s">
        <v>358</v>
      </c>
      <c r="C69" s="47"/>
      <c r="D69" s="47"/>
      <c r="E69" s="47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spans="1:29" ht="28.05" customHeight="1" x14ac:dyDescent="0.45">
      <c r="A70" s="28" t="s">
        <v>114</v>
      </c>
      <c r="B70" s="73" t="s">
        <v>359</v>
      </c>
      <c r="C70" s="47"/>
      <c r="D70" s="47"/>
      <c r="E70" s="47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spans="1:29" ht="16.05" customHeight="1" x14ac:dyDescent="0.45">
      <c r="A71" s="48" t="s">
        <v>360</v>
      </c>
      <c r="B71" s="47"/>
      <c r="C71" s="47"/>
      <c r="D71" s="47"/>
      <c r="E71" s="47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spans="1:29" ht="16.05" customHeight="1" x14ac:dyDescent="0.45">
      <c r="A72" s="81" t="s">
        <v>361</v>
      </c>
      <c r="B72" s="47"/>
      <c r="C72" s="47"/>
      <c r="D72" s="47"/>
      <c r="E72" s="47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spans="1:29" ht="16.05" customHeight="1" x14ac:dyDescent="0.45">
      <c r="A73" s="81" t="s">
        <v>362</v>
      </c>
      <c r="B73" s="47"/>
      <c r="C73" s="47"/>
      <c r="D73" s="47"/>
      <c r="E73" s="47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spans="1:29" ht="16.05" customHeight="1" x14ac:dyDescent="0.45">
      <c r="A74" s="81" t="s">
        <v>363</v>
      </c>
      <c r="B74" s="47"/>
      <c r="C74" s="47"/>
      <c r="D74" s="47"/>
      <c r="E74" s="47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 spans="1:29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 spans="1:29" ht="16.05" customHeight="1" x14ac:dyDescent="0.45">
      <c r="A76" s="75" t="s">
        <v>116</v>
      </c>
      <c r="B76" s="47"/>
      <c r="C76" s="47"/>
      <c r="D76" s="47"/>
      <c r="E76" s="4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 spans="1:29" ht="20" customHeight="1" x14ac:dyDescent="0.45">
      <c r="A77" s="29" t="s">
        <v>364</v>
      </c>
      <c r="B77" s="67" t="s">
        <v>365</v>
      </c>
      <c r="C77" s="68"/>
      <c r="D77" s="69"/>
      <c r="E77" s="31" t="str">
        <f>IF(AND(B77&lt;&gt;"",B77&lt;&gt;Q77),"✔","")</f>
        <v/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 t="s">
        <v>365</v>
      </c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 spans="1:29" ht="28.05" customHeight="1" x14ac:dyDescent="0.45">
      <c r="A78" s="29" t="s">
        <v>366</v>
      </c>
      <c r="B78" s="67" t="s">
        <v>367</v>
      </c>
      <c r="C78" s="68"/>
      <c r="D78" s="69"/>
      <c r="E78" s="31" t="str">
        <f>IF(AND(B78&lt;&gt;"",B78&lt;&gt;Q78),"✔","")</f>
        <v/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 t="s">
        <v>367</v>
      </c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 spans="1:29" ht="28.05" customHeight="1" x14ac:dyDescent="0.45">
      <c r="A79" s="29" t="s">
        <v>368</v>
      </c>
      <c r="B79" s="67" t="s">
        <v>369</v>
      </c>
      <c r="C79" s="68"/>
      <c r="D79" s="69"/>
      <c r="E79" s="31" t="str">
        <f>IF(AND(B79&lt;&gt;"",B79&lt;&gt;Q79),"✔","")</f>
        <v/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 t="s">
        <v>369</v>
      </c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 spans="1:29" ht="20" customHeight="1" x14ac:dyDescent="0.45">
      <c r="A80" s="29" t="s">
        <v>370</v>
      </c>
      <c r="B80" s="67" t="s">
        <v>371</v>
      </c>
      <c r="C80" s="68"/>
      <c r="D80" s="69"/>
      <c r="E80" s="31" t="str">
        <f>IF(AND(B80&lt;&gt;"",B80&lt;&gt;Q80),"✔","")</f>
        <v/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 t="s">
        <v>371</v>
      </c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  <row r="81" spans="1:29" ht="20" customHeight="1" x14ac:dyDescent="0.45">
      <c r="A81" s="29" t="s">
        <v>372</v>
      </c>
      <c r="B81" s="67" t="s">
        <v>373</v>
      </c>
      <c r="C81" s="68"/>
      <c r="D81" s="69"/>
      <c r="E81" s="31" t="str">
        <f>IF(AND(B81&lt;&gt;"",B81&lt;&gt;Q81),"✔","")</f>
        <v/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 t="s">
        <v>373</v>
      </c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  <row r="82" spans="1:29" ht="26" customHeight="1" x14ac:dyDescent="0.45">
      <c r="A82" s="48" t="s">
        <v>374</v>
      </c>
      <c r="B82" s="47"/>
      <c r="C82" s="47"/>
      <c r="D82" s="47"/>
      <c r="E82" s="47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</row>
    <row r="83" spans="1:29" x14ac:dyDescent="0.4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</row>
    <row r="84" spans="1:29" ht="18" customHeight="1" x14ac:dyDescent="0.45">
      <c r="A84" s="70" t="s">
        <v>375</v>
      </c>
      <c r="B84" s="47"/>
      <c r="C84" s="47"/>
      <c r="D84" s="47"/>
      <c r="E84" s="47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</row>
    <row r="85" spans="1:29" ht="16.05" hidden="1" customHeight="1" outlineLevel="1" x14ac:dyDescent="0.45">
      <c r="A85" s="48" t="s">
        <v>376</v>
      </c>
      <c r="B85" s="47"/>
      <c r="C85" s="47"/>
      <c r="D85" s="47"/>
      <c r="E85" s="47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spans="1:29" ht="20" hidden="1" customHeight="1" outlineLevel="1" x14ac:dyDescent="0.45">
      <c r="A86" s="29" t="s">
        <v>377</v>
      </c>
      <c r="B86" s="67" t="s">
        <v>378</v>
      </c>
      <c r="C86" s="68"/>
      <c r="D86" s="69"/>
      <c r="E86" s="31" t="str">
        <f>IF(AND(B86&lt;&gt;"",B86&lt;&gt;Q86),"✔","")</f>
        <v/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 t="s">
        <v>378</v>
      </c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 spans="1:29" ht="28.05" hidden="1" customHeight="1" outlineLevel="1" x14ac:dyDescent="0.45">
      <c r="A87" s="29" t="s">
        <v>379</v>
      </c>
      <c r="B87" s="67"/>
      <c r="C87" s="68"/>
      <c r="D87" s="69"/>
      <c r="E87" s="31" t="str">
        <f>IF(AND(B87&lt;&gt;"",B87&lt;&gt;Q87),"✔","")</f>
        <v/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 spans="1:29" ht="20" hidden="1" customHeight="1" outlineLevel="1" x14ac:dyDescent="0.45">
      <c r="A88" s="29" t="s">
        <v>380</v>
      </c>
      <c r="B88" s="67"/>
      <c r="C88" s="68"/>
      <c r="D88" s="69"/>
      <c r="E88" s="31" t="str">
        <f>IF(AND(B88&lt;&gt;"",B88&lt;&gt;Q88),"✔","")</f>
        <v/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spans="1:29" x14ac:dyDescent="0.4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 spans="1:29" x14ac:dyDescent="0.4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 spans="1:29" ht="30" customHeight="1" x14ac:dyDescent="0.45">
      <c r="A91" s="76" t="str">
        <f>IF(MIN(Z2,Z1)&gt;=Z1,"✅  MOUVEMENT TERMINÉ  —  Votre poste change sous vous, dans la direction que vous avez choisie. Le jour où l’intitulé suit, il ne fait qu’enregistrer un fait accompli.","Il vous reste "&amp;(Z1-MIN(Z2,Z1))&amp;" geste"&amp;IF(Z1-MIN(Z2,Z1)&gt;1,"s","")&amp;" pour débloquer ce que ce mouvement vous apporte.")</f>
        <v>Il vous reste 3 gestes pour débloquer ce que ce mouvement vous apporte.</v>
      </c>
      <c r="B91" s="77"/>
      <c r="C91" s="77"/>
      <c r="D91" s="77"/>
      <c r="E91" s="78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spans="1:29" x14ac:dyDescent="0.4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spans="1:29" x14ac:dyDescent="0.4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spans="1:29" x14ac:dyDescent="0.4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spans="1:29" x14ac:dyDescent="0.4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 spans="1:29" x14ac:dyDescent="0.4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spans="1:29" x14ac:dyDescent="0.4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spans="1:29" x14ac:dyDescent="0.4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spans="1:29" x14ac:dyDescent="0.4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 spans="1:29" x14ac:dyDescent="0.4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  <row r="101" spans="1:29" x14ac:dyDescent="0.4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</row>
    <row r="102" spans="1:29" x14ac:dyDescent="0.4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</row>
    <row r="103" spans="1:29" x14ac:dyDescent="0.4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</row>
  </sheetData>
  <mergeCells count="74">
    <mergeCell ref="A91:E91"/>
    <mergeCell ref="A27:D27"/>
    <mergeCell ref="A38:E38"/>
    <mergeCell ref="A72:E72"/>
    <mergeCell ref="A52:E52"/>
    <mergeCell ref="B77:D77"/>
    <mergeCell ref="B69:E69"/>
    <mergeCell ref="B29:E29"/>
    <mergeCell ref="B43:D43"/>
    <mergeCell ref="A47:D47"/>
    <mergeCell ref="B28:E28"/>
    <mergeCell ref="A40:E40"/>
    <mergeCell ref="B86:D86"/>
    <mergeCell ref="A85:E85"/>
    <mergeCell ref="B62:D62"/>
    <mergeCell ref="A22:E22"/>
    <mergeCell ref="B16:D16"/>
    <mergeCell ref="B14:E14"/>
    <mergeCell ref="B54:D54"/>
    <mergeCell ref="B81:D81"/>
    <mergeCell ref="A19:E19"/>
    <mergeCell ref="B18:D18"/>
    <mergeCell ref="A2:E2"/>
    <mergeCell ref="B63:D63"/>
    <mergeCell ref="B79:D79"/>
    <mergeCell ref="B32:D32"/>
    <mergeCell ref="B35:D35"/>
    <mergeCell ref="B70:E70"/>
    <mergeCell ref="A71:E71"/>
    <mergeCell ref="A76:E76"/>
    <mergeCell ref="B12:D12"/>
    <mergeCell ref="A9:E9"/>
    <mergeCell ref="A1:E1"/>
    <mergeCell ref="B88:D88"/>
    <mergeCell ref="B44:D44"/>
    <mergeCell ref="B53:D53"/>
    <mergeCell ref="B78:D78"/>
    <mergeCell ref="B87:D87"/>
    <mergeCell ref="A68:D68"/>
    <mergeCell ref="B34:D34"/>
    <mergeCell ref="B10:D10"/>
    <mergeCell ref="B37:D37"/>
    <mergeCell ref="B50:E50"/>
    <mergeCell ref="A41:E41"/>
    <mergeCell ref="B7:E7"/>
    <mergeCell ref="B3:E3"/>
    <mergeCell ref="B65:D65"/>
    <mergeCell ref="A84:E84"/>
    <mergeCell ref="B60:D60"/>
    <mergeCell ref="A73:E73"/>
    <mergeCell ref="B23:D23"/>
    <mergeCell ref="B61:D61"/>
    <mergeCell ref="A82:E82"/>
    <mergeCell ref="A58:E58"/>
    <mergeCell ref="B55:D55"/>
    <mergeCell ref="A74:E74"/>
    <mergeCell ref="B24:D24"/>
    <mergeCell ref="A56:E56"/>
    <mergeCell ref="B64:D64"/>
    <mergeCell ref="B33:D33"/>
    <mergeCell ref="B36:D36"/>
    <mergeCell ref="B80:D80"/>
    <mergeCell ref="A31:E31"/>
    <mergeCell ref="A5:D5"/>
    <mergeCell ref="B11:D11"/>
    <mergeCell ref="B42:D42"/>
    <mergeCell ref="A59:E59"/>
    <mergeCell ref="A48:E48"/>
    <mergeCell ref="B49:E49"/>
    <mergeCell ref="B6:E6"/>
    <mergeCell ref="B17:D17"/>
    <mergeCell ref="B13:D13"/>
    <mergeCell ref="B15:D15"/>
    <mergeCell ref="A21:E21"/>
  </mergeCells>
  <conditionalFormatting sqref="A91:E91">
    <cfRule type="expression" dxfId="65" priority="2" stopIfTrue="1">
      <formula>MIN($Z$2,$Z$1)&gt;=$Z$1</formula>
    </cfRule>
    <cfRule type="expression" dxfId="64" priority="3" stopIfTrue="1">
      <formula>MIN($Z$2,$Z$1)&lt;$Z$1</formula>
    </cfRule>
  </conditionalFormatting>
  <conditionalFormatting sqref="B3:D3">
    <cfRule type="dataBar" priority="1">
      <dataBar>
        <cfvo type="num" val="0"/>
        <cfvo type="num" val="1"/>
        <color rgb="FF27AE60"/>
      </dataBar>
    </cfRule>
  </conditionalFormatting>
  <conditionalFormatting sqref="B10:E13">
    <cfRule type="expression" dxfId="63" priority="4" stopIfTrue="1">
      <formula>AND($B10&lt;&gt;"",$B10=$Q10)</formula>
    </cfRule>
    <cfRule type="expression" dxfId="62" priority="5" stopIfTrue="1">
      <formula>$B10&lt;&gt;""</formula>
    </cfRule>
  </conditionalFormatting>
  <conditionalFormatting sqref="B15:E18">
    <cfRule type="expression" dxfId="61" priority="12" stopIfTrue="1">
      <formula>AND($B15&lt;&gt;"",$B15=$Q15)</formula>
    </cfRule>
    <cfRule type="expression" dxfId="60" priority="13" stopIfTrue="1">
      <formula>$B15&lt;&gt;""</formula>
    </cfRule>
  </conditionalFormatting>
  <conditionalFormatting sqref="B23:E24">
    <cfRule type="expression" dxfId="59" priority="21" stopIfTrue="1">
      <formula>$B23&lt;&gt;""</formula>
    </cfRule>
    <cfRule type="expression" dxfId="58" priority="20" stopIfTrue="1">
      <formula>AND($B23&lt;&gt;"",$B23=$Q23)</formula>
    </cfRule>
  </conditionalFormatting>
  <conditionalFormatting sqref="B32:E37">
    <cfRule type="expression" dxfId="57" priority="24" stopIfTrue="1">
      <formula>AND($B32&lt;&gt;"",$B32=$Q32)</formula>
    </cfRule>
    <cfRule type="expression" dxfId="56" priority="25" stopIfTrue="1">
      <formula>$B32&lt;&gt;""</formula>
    </cfRule>
  </conditionalFormatting>
  <conditionalFormatting sqref="B42:E44">
    <cfRule type="expression" dxfId="55" priority="36" stopIfTrue="1">
      <formula>AND($B42&lt;&gt;"",$B42=$Q42)</formula>
    </cfRule>
    <cfRule type="expression" dxfId="54" priority="37" stopIfTrue="1">
      <formula>$B42&lt;&gt;""</formula>
    </cfRule>
  </conditionalFormatting>
  <conditionalFormatting sqref="B53:E55">
    <cfRule type="expression" dxfId="53" priority="42" stopIfTrue="1">
      <formula>AND($B53&lt;&gt;"",$B53=$Q53)</formula>
    </cfRule>
    <cfRule type="expression" dxfId="52" priority="43" stopIfTrue="1">
      <formula>$B53&lt;&gt;""</formula>
    </cfRule>
  </conditionalFormatting>
  <conditionalFormatting sqref="B60:E65">
    <cfRule type="expression" dxfId="51" priority="49" stopIfTrue="1">
      <formula>$B60&lt;&gt;""</formula>
    </cfRule>
    <cfRule type="expression" dxfId="50" priority="48" stopIfTrue="1">
      <formula>AND($B60&lt;&gt;"",$B60=$Q60)</formula>
    </cfRule>
  </conditionalFormatting>
  <conditionalFormatting sqref="B77:E81">
    <cfRule type="expression" dxfId="49" priority="61" stopIfTrue="1">
      <formula>$B77&lt;&gt;""</formula>
    </cfRule>
    <cfRule type="expression" dxfId="48" priority="60" stopIfTrue="1">
      <formula>AND($B77&lt;&gt;"",$B77=$Q77)</formula>
    </cfRule>
  </conditionalFormatting>
  <conditionalFormatting sqref="B86:E88">
    <cfRule type="expression" dxfId="47" priority="71" stopIfTrue="1">
      <formula>$B86&lt;&gt;""</formula>
    </cfRule>
    <cfRule type="expression" dxfId="46" priority="70" stopIfTrue="1">
      <formula>AND($B86&lt;&gt;"",$B86=$Q86)</formula>
    </cfRule>
  </conditionalFormatting>
  <conditionalFormatting sqref="E5">
    <cfRule type="cellIs" dxfId="45" priority="78" operator="equal">
      <formula>"À faire"</formula>
    </cfRule>
    <cfRule type="cellIs" dxfId="44" priority="76" operator="equal">
      <formula>"Fait"</formula>
    </cfRule>
    <cfRule type="cellIs" dxfId="43" priority="77" operator="equal">
      <formula>"En cours"</formula>
    </cfRule>
  </conditionalFormatting>
  <conditionalFormatting sqref="E27">
    <cfRule type="cellIs" dxfId="42" priority="81" operator="equal">
      <formula>"À faire"</formula>
    </cfRule>
    <cfRule type="cellIs" dxfId="41" priority="80" operator="equal">
      <formula>"En cours"</formula>
    </cfRule>
    <cfRule type="cellIs" dxfId="40" priority="79" operator="equal">
      <formula>"Fait"</formula>
    </cfRule>
  </conditionalFormatting>
  <conditionalFormatting sqref="E47">
    <cfRule type="cellIs" dxfId="39" priority="84" operator="equal">
      <formula>"À faire"</formula>
    </cfRule>
    <cfRule type="cellIs" dxfId="38" priority="83" operator="equal">
      <formula>"En cours"</formula>
    </cfRule>
    <cfRule type="cellIs" dxfId="37" priority="82" operator="equal">
      <formula>"Fait"</formula>
    </cfRule>
  </conditionalFormatting>
  <conditionalFormatting sqref="E68">
    <cfRule type="cellIs" dxfId="36" priority="86" operator="equal">
      <formula>"En cours"</formula>
    </cfRule>
    <cfRule type="cellIs" dxfId="35" priority="87" operator="equal">
      <formula>"À faire"</formula>
    </cfRule>
    <cfRule type="cellIs" dxfId="34" priority="85" operator="equal">
      <formula>"Fait"</formula>
    </cfRule>
  </conditionalFormatting>
  <dataValidations count="4">
    <dataValidation type="list" allowBlank="1" error="Choisissez une valeur dans la liste." sqref="B11 B12 B13" xr:uid="{00000000-0002-0000-0400-000000000000}">
      <formula1>"Oui,Non"</formula1>
    </dataValidation>
    <dataValidation type="list" allowBlank="1" error="Choisissez une valeur dans la liste." sqref="B37" xr:uid="{00000000-0002-0000-0400-000001000000}">
      <formula1>"Cadrage,Arbitrage,Responsabilité,Relation"</formula1>
    </dataValidation>
    <dataValidation type="list" allowBlank="1" error="Choisissez une valeur dans la liste." sqref="B43 B87 B88" xr:uid="{00000000-0002-0000-0400-000002000000}">
      <formula1>"Oui,Pas encore"</formula1>
    </dataValidation>
    <dataValidation type="list" allowBlank="1" error="Choisissez une valeur dans la liste." sqref="B60" xr:uid="{00000000-0002-0000-0400-000003000000}">
      <formula1>"Pivot — même métier, autre angle,Terrain — autre famille, socle emporté,Statut — même savoir-faire, en direct"</formula1>
    </dataValidation>
  </dataValidations>
  <printOptions horizontalCentered="1"/>
  <pageMargins left="0.4" right="0.4" top="0.5" bottom="0.5" header="0.5" footer="0.5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A56DB"/>
    <outlinePr summaryBelow="0"/>
    <pageSetUpPr fitToPage="1"/>
  </sheetPr>
  <dimension ref="A1:AC100"/>
  <sheetViews>
    <sheetView showGridLines="0" workbookViewId="0">
      <pane ySplit="3" topLeftCell="A4" activePane="bottomLeft" state="frozen"/>
      <selection pane="bottomLeft"/>
    </sheetView>
  </sheetViews>
  <sheetFormatPr baseColWidth="10" defaultColWidth="9.06640625" defaultRowHeight="14.25" outlineLevelRow="1" x14ac:dyDescent="0.45"/>
  <cols>
    <col min="1" max="1" width="42" customWidth="1"/>
    <col min="2" max="2" width="38" customWidth="1"/>
    <col min="3" max="3" width="24" customWidth="1"/>
    <col min="4" max="4" width="16" customWidth="1"/>
    <col min="5" max="5" width="8" customWidth="1"/>
    <col min="17" max="17" width="13" hidden="1" customWidth="1"/>
    <col min="24" max="26" width="6" hidden="1" customWidth="1"/>
    <col min="27" max="27" width="13" hidden="1" customWidth="1"/>
  </cols>
  <sheetData>
    <row r="1" spans="1:29" ht="30" customHeight="1" x14ac:dyDescent="0.45">
      <c r="A1" s="72" t="s">
        <v>381</v>
      </c>
      <c r="B1" s="47"/>
      <c r="C1" s="47"/>
      <c r="D1" s="47"/>
      <c r="E1" s="47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>
        <v>4</v>
      </c>
      <c r="AA1" s="12"/>
      <c r="AB1" s="12"/>
      <c r="AC1" s="12"/>
    </row>
    <row r="2" spans="1:29" ht="16.05" customHeight="1" x14ac:dyDescent="0.45">
      <c r="A2" s="57" t="s">
        <v>382</v>
      </c>
      <c r="B2" s="47"/>
      <c r="C2" s="47"/>
      <c r="D2" s="47"/>
      <c r="E2" s="47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>
        <f>Z5+Z26+Z43+Z66</f>
        <v>0</v>
      </c>
      <c r="AA2" s="12"/>
      <c r="AB2" s="12"/>
      <c r="AC2" s="12"/>
    </row>
    <row r="3" spans="1:29" ht="22.05" customHeight="1" x14ac:dyDescent="0.45">
      <c r="A3" s="26" t="str">
        <f>"Votre avancée : "&amp;Z2&amp;" geste"&amp;IF(Z2&gt;1,"s","")&amp;" sur "&amp;Z1</f>
        <v>Votre avancée : 0 geste sur 4</v>
      </c>
      <c r="B3" s="74">
        <f>IF(Z1=0,0,Z2/Z1)</f>
        <v>0</v>
      </c>
      <c r="C3" s="47"/>
      <c r="D3" s="47"/>
      <c r="E3" s="47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x14ac:dyDescent="0.4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26" customHeight="1" x14ac:dyDescent="0.45">
      <c r="A5" s="51" t="s">
        <v>383</v>
      </c>
      <c r="B5" s="66"/>
      <c r="C5" s="66"/>
      <c r="D5" s="66"/>
      <c r="E5" s="27" t="str">
        <f>IF(Y5=0,"",IF(X5=0,"À faire",IF(X5&lt;Y5,"En cours","Fait")))</f>
        <v>À faire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>
        <f>--(TRIM(B10)&lt;&gt;TRIM(Q10))+--(TRIM(B11)&lt;&gt;TRIM(Q11))+--(TRIM(B12)&lt;&gt;TRIM(Q12))+--(TRIM(B13)&lt;&gt;TRIM(Q13))+--(TRIM(B14)&lt;&gt;TRIM(Q14))+--(TRIM(B15)&lt;&gt;TRIM(Q15))</f>
        <v>0</v>
      </c>
      <c r="Y5" s="12">
        <v>6</v>
      </c>
      <c r="Z5" s="12">
        <f>IF(E5="Fait",1,0)</f>
        <v>0</v>
      </c>
      <c r="AA5" s="12"/>
      <c r="AB5" s="12"/>
      <c r="AC5" s="12"/>
    </row>
    <row r="6" spans="1:29" ht="30" customHeight="1" x14ac:dyDescent="0.45">
      <c r="A6" s="28" t="s">
        <v>112</v>
      </c>
      <c r="B6" s="71" t="s">
        <v>384</v>
      </c>
      <c r="C6" s="47"/>
      <c r="D6" s="47"/>
      <c r="E6" s="47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8.05" customHeight="1" x14ac:dyDescent="0.45">
      <c r="A7" s="28" t="s">
        <v>114</v>
      </c>
      <c r="B7" s="73" t="s">
        <v>385</v>
      </c>
      <c r="C7" s="47"/>
      <c r="D7" s="47"/>
      <c r="E7" s="47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x14ac:dyDescent="0.4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16.05" customHeight="1" x14ac:dyDescent="0.45">
      <c r="A9" s="75" t="s">
        <v>116</v>
      </c>
      <c r="B9" s="47"/>
      <c r="C9" s="47"/>
      <c r="D9" s="47"/>
      <c r="E9" s="4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0" customHeight="1" x14ac:dyDescent="0.45">
      <c r="A10" s="29" t="s">
        <v>386</v>
      </c>
      <c r="B10" s="67" t="s">
        <v>387</v>
      </c>
      <c r="C10" s="68"/>
      <c r="D10" s="69"/>
      <c r="E10" s="31" t="str">
        <f t="shared" ref="E10:E15" si="0">IF(AND(B10&lt;&gt;"",B10&lt;&gt;Q10),"✔","")</f>
        <v/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 t="s">
        <v>387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20" customHeight="1" x14ac:dyDescent="0.45">
      <c r="A11" s="29" t="s">
        <v>388</v>
      </c>
      <c r="B11" s="67" t="s">
        <v>389</v>
      </c>
      <c r="C11" s="68"/>
      <c r="D11" s="69"/>
      <c r="E11" s="31" t="str">
        <f t="shared" si="0"/>
        <v/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 t="s">
        <v>389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20" customHeight="1" x14ac:dyDescent="0.45">
      <c r="A12" s="29" t="s">
        <v>390</v>
      </c>
      <c r="B12" s="67" t="s">
        <v>391</v>
      </c>
      <c r="C12" s="68"/>
      <c r="D12" s="69"/>
      <c r="E12" s="31" t="str">
        <f t="shared" si="0"/>
        <v/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 t="s">
        <v>391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ht="20" customHeight="1" x14ac:dyDescent="0.45">
      <c r="A13" s="29" t="s">
        <v>392</v>
      </c>
      <c r="B13" s="67" t="s">
        <v>393</v>
      </c>
      <c r="C13" s="68"/>
      <c r="D13" s="69"/>
      <c r="E13" s="31" t="str">
        <f t="shared" si="0"/>
        <v/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 t="s">
        <v>393</v>
      </c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ht="20" customHeight="1" x14ac:dyDescent="0.45">
      <c r="A14" s="29" t="s">
        <v>394</v>
      </c>
      <c r="B14" s="67" t="s">
        <v>395</v>
      </c>
      <c r="C14" s="68"/>
      <c r="D14" s="69"/>
      <c r="E14" s="31" t="str">
        <f t="shared" si="0"/>
        <v/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 t="s">
        <v>395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ht="20" customHeight="1" x14ac:dyDescent="0.45">
      <c r="A15" s="29" t="s">
        <v>396</v>
      </c>
      <c r="B15" s="67" t="s">
        <v>397</v>
      </c>
      <c r="C15" s="68"/>
      <c r="D15" s="69"/>
      <c r="E15" s="31" t="str">
        <f t="shared" si="0"/>
        <v/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 t="s">
        <v>397</v>
      </c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26" customHeight="1" x14ac:dyDescent="0.45">
      <c r="A16" s="48" t="s">
        <v>398</v>
      </c>
      <c r="B16" s="47"/>
      <c r="C16" s="47"/>
      <c r="D16" s="47"/>
      <c r="E16" s="47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x14ac:dyDescent="0.4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ht="18" customHeight="1" x14ac:dyDescent="0.45">
      <c r="A18" s="70" t="s">
        <v>399</v>
      </c>
      <c r="B18" s="47"/>
      <c r="C18" s="47"/>
      <c r="D18" s="47"/>
      <c r="E18" s="47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ht="26" hidden="1" customHeight="1" outlineLevel="1" x14ac:dyDescent="0.45">
      <c r="A19" s="48" t="s">
        <v>400</v>
      </c>
      <c r="B19" s="47"/>
      <c r="C19" s="47"/>
      <c r="D19" s="47"/>
      <c r="E19" s="47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ht="28.05" hidden="1" customHeight="1" outlineLevel="1" x14ac:dyDescent="0.45">
      <c r="A20" s="29" t="s">
        <v>401</v>
      </c>
      <c r="B20" s="67" t="s">
        <v>402</v>
      </c>
      <c r="C20" s="68"/>
      <c r="D20" s="69"/>
      <c r="E20" s="31" t="str">
        <f>IF(AND(B20&lt;&gt;"",B20&lt;&gt;Q20),"✔","")</f>
        <v/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 t="s">
        <v>402</v>
      </c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ht="20" hidden="1" customHeight="1" outlineLevel="1" x14ac:dyDescent="0.45">
      <c r="A21" s="29" t="s">
        <v>403</v>
      </c>
      <c r="B21" s="67" t="s">
        <v>404</v>
      </c>
      <c r="C21" s="68"/>
      <c r="D21" s="69"/>
      <c r="E21" s="31" t="str">
        <f>IF(AND(B21&lt;&gt;"",B21&lt;&gt;Q21),"✔","")</f>
        <v/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 t="s">
        <v>404</v>
      </c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28.05" hidden="1" customHeight="1" outlineLevel="1" x14ac:dyDescent="0.45">
      <c r="A22" s="29" t="s">
        <v>405</v>
      </c>
      <c r="B22" s="67" t="s">
        <v>406</v>
      </c>
      <c r="C22" s="68"/>
      <c r="D22" s="69"/>
      <c r="E22" s="31" t="str">
        <f>IF(AND(B22&lt;&gt;"",B22&lt;&gt;Q22),"✔","")</f>
        <v/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 t="s">
        <v>406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20" hidden="1" customHeight="1" outlineLevel="1" x14ac:dyDescent="0.45">
      <c r="A23" s="29" t="s">
        <v>407</v>
      </c>
      <c r="B23" s="67" t="s">
        <v>408</v>
      </c>
      <c r="C23" s="68"/>
      <c r="D23" s="69"/>
      <c r="E23" s="31" t="str">
        <f>IF(AND(B23&lt;&gt;"",B23&lt;&gt;Q23),"✔","")</f>
        <v/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 t="s">
        <v>408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x14ac:dyDescent="0.4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x14ac:dyDescent="0.4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ht="26" customHeight="1" x14ac:dyDescent="0.45">
      <c r="A26" s="51" t="s">
        <v>409</v>
      </c>
      <c r="B26" s="66"/>
      <c r="C26" s="66"/>
      <c r="D26" s="66"/>
      <c r="E26" s="27" t="str">
        <f>IF(Y26=0,"",IF(X26=0,"À faire",IF(X26&lt;Y26,"En cours","Fait")))</f>
        <v>À faire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>
        <f>--(TRIM(B31)&lt;&gt;TRIM(Q31))+--(TRIM(B32)&lt;&gt;TRIM(Q32))</f>
        <v>0</v>
      </c>
      <c r="Y26" s="12">
        <v>2</v>
      </c>
      <c r="Z26" s="12">
        <f>IF(E26="Fait",1,0)</f>
        <v>0</v>
      </c>
      <c r="AA26" s="12"/>
      <c r="AB26" s="12"/>
      <c r="AC26" s="12"/>
    </row>
    <row r="27" spans="1:29" ht="30" customHeight="1" x14ac:dyDescent="0.45">
      <c r="A27" s="28" t="s">
        <v>112</v>
      </c>
      <c r="B27" s="71" t="s">
        <v>410</v>
      </c>
      <c r="C27" s="47"/>
      <c r="D27" s="47"/>
      <c r="E27" s="47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 ht="28.05" customHeight="1" x14ac:dyDescent="0.45">
      <c r="A28" s="28" t="s">
        <v>114</v>
      </c>
      <c r="B28" s="73" t="s">
        <v>411</v>
      </c>
      <c r="C28" s="47"/>
      <c r="D28" s="47"/>
      <c r="E28" s="47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x14ac:dyDescent="0.4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 ht="16.05" customHeight="1" x14ac:dyDescent="0.45">
      <c r="A30" s="75" t="s">
        <v>116</v>
      </c>
      <c r="B30" s="47"/>
      <c r="C30" s="47"/>
      <c r="D30" s="47"/>
      <c r="E30" s="47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ht="20" customHeight="1" x14ac:dyDescent="0.45">
      <c r="A31" s="29" t="s">
        <v>412</v>
      </c>
      <c r="B31" s="67" t="s">
        <v>413</v>
      </c>
      <c r="C31" s="68"/>
      <c r="D31" s="69"/>
      <c r="E31" s="31" t="str">
        <f>IF(AND(B31&lt;&gt;"",B31&lt;&gt;Q31),"✔","")</f>
        <v/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 t="s">
        <v>413</v>
      </c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 ht="20" customHeight="1" x14ac:dyDescent="0.45">
      <c r="A32" s="29" t="s">
        <v>414</v>
      </c>
      <c r="B32" s="67" t="s">
        <v>415</v>
      </c>
      <c r="C32" s="68"/>
      <c r="D32" s="69"/>
      <c r="E32" s="31" t="str">
        <f>IF(AND(B32&lt;&gt;"",B32&lt;&gt;Q32),"✔","")</f>
        <v/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 t="s">
        <v>415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ht="16.05" customHeight="1" x14ac:dyDescent="0.45">
      <c r="A33" s="48" t="s">
        <v>416</v>
      </c>
      <c r="B33" s="47"/>
      <c r="C33" s="47"/>
      <c r="D33" s="47"/>
      <c r="E33" s="47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x14ac:dyDescent="0.4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ht="18" customHeight="1" x14ac:dyDescent="0.45">
      <c r="A35" s="70" t="s">
        <v>417</v>
      </c>
      <c r="B35" s="47"/>
      <c r="C35" s="47"/>
      <c r="D35" s="47"/>
      <c r="E35" s="47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ht="16.05" hidden="1" customHeight="1" outlineLevel="1" x14ac:dyDescent="0.45">
      <c r="A36" s="48" t="s">
        <v>418</v>
      </c>
      <c r="B36" s="47"/>
      <c r="C36" s="47"/>
      <c r="D36" s="47"/>
      <c r="E36" s="47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ht="20" hidden="1" customHeight="1" outlineLevel="1" x14ac:dyDescent="0.45">
      <c r="A37" s="29" t="s">
        <v>419</v>
      </c>
      <c r="B37" s="67" t="s">
        <v>420</v>
      </c>
      <c r="C37" s="68"/>
      <c r="D37" s="69"/>
      <c r="E37" s="31" t="str">
        <f>IF(AND(B37&lt;&gt;"",B37&lt;&gt;Q37),"✔","")</f>
        <v/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 t="s">
        <v>420</v>
      </c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ht="20" hidden="1" customHeight="1" outlineLevel="1" x14ac:dyDescent="0.45">
      <c r="A38" s="29" t="s">
        <v>421</v>
      </c>
      <c r="B38" s="67" t="s">
        <v>422</v>
      </c>
      <c r="C38" s="68"/>
      <c r="D38" s="69"/>
      <c r="E38" s="31" t="str">
        <f>IF(AND(B38&lt;&gt;"",B38&lt;&gt;Q38),"✔","")</f>
        <v/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 t="s">
        <v>422</v>
      </c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ht="20" hidden="1" customHeight="1" outlineLevel="1" x14ac:dyDescent="0.45">
      <c r="A39" s="29" t="s">
        <v>423</v>
      </c>
      <c r="B39" s="67" t="s">
        <v>424</v>
      </c>
      <c r="C39" s="68"/>
      <c r="D39" s="69"/>
      <c r="E39" s="31" t="str">
        <f>IF(AND(B39&lt;&gt;"",B39&lt;&gt;Q39),"✔","")</f>
        <v/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 t="s">
        <v>424</v>
      </c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ht="20" hidden="1" customHeight="1" outlineLevel="1" x14ac:dyDescent="0.45">
      <c r="A40" s="29" t="s">
        <v>425</v>
      </c>
      <c r="B40" s="67" t="s">
        <v>426</v>
      </c>
      <c r="C40" s="68"/>
      <c r="D40" s="69"/>
      <c r="E40" s="31" t="str">
        <f>IF(AND(B40&lt;&gt;"",B40&lt;&gt;Q40),"✔","")</f>
        <v/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 t="s">
        <v>426</v>
      </c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29" x14ac:dyDescent="0.4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 x14ac:dyDescent="0.4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ht="26" customHeight="1" x14ac:dyDescent="0.45">
      <c r="A43" s="51" t="s">
        <v>427</v>
      </c>
      <c r="B43" s="66"/>
      <c r="C43" s="66"/>
      <c r="D43" s="66"/>
      <c r="E43" s="27" t="str">
        <f>IF(Y43=0,"",IF(X43=0,"À faire",IF(X43&lt;Y43,"En cours","Fait")))</f>
        <v>À faire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>
        <f>--(TRIM(B50)&lt;&gt;TRIM(Q50))+--(TRIM(B51)&lt;&gt;TRIM(Q51))+--(TRIM(B52)&lt;&gt;TRIM(Q52))+--(TRIM(B53)&lt;&gt;TRIM(Q53))+--(TRIM(B54)&lt;&gt;TRIM(Q54))</f>
        <v>0</v>
      </c>
      <c r="Y43" s="12">
        <v>5</v>
      </c>
      <c r="Z43" s="12">
        <f>IF(E43="Fait",1,0)</f>
        <v>0</v>
      </c>
      <c r="AA43" s="12"/>
      <c r="AB43" s="12"/>
      <c r="AC43" s="12"/>
    </row>
    <row r="44" spans="1:29" ht="30" customHeight="1" x14ac:dyDescent="0.45">
      <c r="A44" s="28" t="s">
        <v>112</v>
      </c>
      <c r="B44" s="71" t="s">
        <v>428</v>
      </c>
      <c r="C44" s="47"/>
      <c r="D44" s="47"/>
      <c r="E44" s="47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ht="28.05" customHeight="1" x14ac:dyDescent="0.45">
      <c r="A45" s="28" t="s">
        <v>114</v>
      </c>
      <c r="B45" s="73" t="s">
        <v>429</v>
      </c>
      <c r="C45" s="47"/>
      <c r="D45" s="47"/>
      <c r="E45" s="47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ht="16.05" customHeight="1" x14ac:dyDescent="0.45">
      <c r="A46" s="48" t="s">
        <v>430</v>
      </c>
      <c r="B46" s="47"/>
      <c r="C46" s="47"/>
      <c r="D46" s="47"/>
      <c r="E46" s="47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ht="26" customHeight="1" x14ac:dyDescent="0.45">
      <c r="A47" s="81" t="s">
        <v>431</v>
      </c>
      <c r="B47" s="47"/>
      <c r="C47" s="47"/>
      <c r="D47" s="47"/>
      <c r="E47" s="47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x14ac:dyDescent="0.4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ht="16.05" customHeight="1" x14ac:dyDescent="0.45">
      <c r="A49" s="75" t="s">
        <v>116</v>
      </c>
      <c r="B49" s="47"/>
      <c r="C49" s="47"/>
      <c r="D49" s="47"/>
      <c r="E49" s="47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ht="20" customHeight="1" x14ac:dyDescent="0.45">
      <c r="A50" s="29" t="s">
        <v>432</v>
      </c>
      <c r="B50" s="67" t="s">
        <v>433</v>
      </c>
      <c r="C50" s="68"/>
      <c r="D50" s="69"/>
      <c r="E50" s="31" t="str">
        <f>IF(AND(B50&lt;&gt;"",B50&lt;&gt;Q50),"✔","")</f>
        <v/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 t="s">
        <v>433</v>
      </c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ht="20" customHeight="1" x14ac:dyDescent="0.45">
      <c r="A51" s="29" t="s">
        <v>434</v>
      </c>
      <c r="B51" s="67" t="s">
        <v>435</v>
      </c>
      <c r="C51" s="68"/>
      <c r="D51" s="69"/>
      <c r="E51" s="31" t="str">
        <f>IF(AND(B51&lt;&gt;"",B51&lt;&gt;Q51),"✔","")</f>
        <v/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 t="s">
        <v>435</v>
      </c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ht="20" customHeight="1" x14ac:dyDescent="0.45">
      <c r="A52" s="29" t="s">
        <v>436</v>
      </c>
      <c r="B52" s="67" t="s">
        <v>437</v>
      </c>
      <c r="C52" s="68"/>
      <c r="D52" s="69"/>
      <c r="E52" s="31" t="str">
        <f>IF(AND(B52&lt;&gt;"",B52&lt;&gt;Q52),"✔","")</f>
        <v/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 t="s">
        <v>437</v>
      </c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ht="20" customHeight="1" x14ac:dyDescent="0.45">
      <c r="A53" s="29" t="s">
        <v>438</v>
      </c>
      <c r="B53" s="67" t="s">
        <v>439</v>
      </c>
      <c r="C53" s="68"/>
      <c r="D53" s="69"/>
      <c r="E53" s="31" t="str">
        <f>IF(AND(B53&lt;&gt;"",B53&lt;&gt;Q53),"✔","")</f>
        <v/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 t="s">
        <v>439</v>
      </c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ht="20" customHeight="1" x14ac:dyDescent="0.45">
      <c r="A54" s="29" t="s">
        <v>440</v>
      </c>
      <c r="B54" s="67" t="s">
        <v>441</v>
      </c>
      <c r="C54" s="68"/>
      <c r="D54" s="69"/>
      <c r="E54" s="31" t="str">
        <f>IF(AND(B54&lt;&gt;"",B54&lt;&gt;Q54),"✔","")</f>
        <v/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 t="s">
        <v>441</v>
      </c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ht="26" customHeight="1" x14ac:dyDescent="0.45">
      <c r="A55" s="48" t="s">
        <v>442</v>
      </c>
      <c r="B55" s="47"/>
      <c r="C55" s="47"/>
      <c r="D55" s="47"/>
      <c r="E55" s="47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x14ac:dyDescent="0.4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spans="1:29" ht="18" customHeight="1" x14ac:dyDescent="0.45">
      <c r="A57" s="70" t="s">
        <v>443</v>
      </c>
      <c r="B57" s="47"/>
      <c r="C57" s="47"/>
      <c r="D57" s="47"/>
      <c r="E57" s="47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spans="1:29" ht="26" hidden="1" customHeight="1" outlineLevel="1" x14ac:dyDescent="0.45">
      <c r="A58" s="48" t="s">
        <v>444</v>
      </c>
      <c r="B58" s="47"/>
      <c r="C58" s="47"/>
      <c r="D58" s="47"/>
      <c r="E58" s="4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spans="1:29" ht="28.05" hidden="1" customHeight="1" outlineLevel="1" x14ac:dyDescent="0.45">
      <c r="A59" s="29" t="s">
        <v>445</v>
      </c>
      <c r="B59" s="67" t="s">
        <v>446</v>
      </c>
      <c r="C59" s="68"/>
      <c r="D59" s="69"/>
      <c r="E59" s="31" t="str">
        <f>IF(AND(B59&lt;&gt;"",B59&lt;&gt;Q59),"✔","")</f>
        <v/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 t="s">
        <v>446</v>
      </c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spans="1:29" ht="28.05" hidden="1" customHeight="1" outlineLevel="1" x14ac:dyDescent="0.45">
      <c r="A60" s="29" t="s">
        <v>447</v>
      </c>
      <c r="B60" s="67" t="s">
        <v>448</v>
      </c>
      <c r="C60" s="68"/>
      <c r="D60" s="69"/>
      <c r="E60" s="31" t="str">
        <f>IF(AND(B60&lt;&gt;"",B60&lt;&gt;Q60),"✔","")</f>
        <v/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 t="s">
        <v>448</v>
      </c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spans="1:29" ht="28.05" hidden="1" customHeight="1" outlineLevel="1" x14ac:dyDescent="0.45">
      <c r="A61" s="29" t="s">
        <v>449</v>
      </c>
      <c r="B61" s="67" t="s">
        <v>450</v>
      </c>
      <c r="C61" s="68"/>
      <c r="D61" s="69"/>
      <c r="E61" s="31" t="str">
        <f>IF(AND(B61&lt;&gt;"",B61&lt;&gt;Q61),"✔","")</f>
        <v/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 t="s">
        <v>450</v>
      </c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spans="1:29" ht="28.05" hidden="1" customHeight="1" outlineLevel="1" x14ac:dyDescent="0.45">
      <c r="A62" s="29" t="s">
        <v>451</v>
      </c>
      <c r="B62" s="67" t="s">
        <v>452</v>
      </c>
      <c r="C62" s="68"/>
      <c r="D62" s="69"/>
      <c r="E62" s="31" t="str">
        <f>IF(AND(B62&lt;&gt;"",B62&lt;&gt;Q62),"✔","")</f>
        <v/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 t="s">
        <v>452</v>
      </c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spans="1:29" ht="20" hidden="1" customHeight="1" outlineLevel="1" x14ac:dyDescent="0.45">
      <c r="A63" s="29" t="s">
        <v>453</v>
      </c>
      <c r="B63" s="67"/>
      <c r="C63" s="68"/>
      <c r="D63" s="69"/>
      <c r="E63" s="31" t="str">
        <f>IF(AND(B63&lt;&gt;"",B63&lt;&gt;Q63),"✔","")</f>
        <v/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spans="1:29" x14ac:dyDescent="0.4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spans="1:29" x14ac:dyDescent="0.4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spans="1:29" ht="26" customHeight="1" x14ac:dyDescent="0.45">
      <c r="A66" s="51" t="s">
        <v>454</v>
      </c>
      <c r="B66" s="66"/>
      <c r="C66" s="66"/>
      <c r="D66" s="66"/>
      <c r="E66" s="27" t="str">
        <f>IF(Y66=0,"",IF(X66=0,"À faire",IF(X66&lt;Y66,"En cours","Fait")))</f>
        <v>À faire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>
        <f>--(TRIM(B71)&lt;&gt;TRIM(Q71))+--(TRIM(B72)&lt;&gt;TRIM(Q72))+--(TRIM(B73)&lt;&gt;TRIM(Q73))+--(TRIM(B74)&lt;&gt;TRIM(Q74))+--(TRIM(B75)&lt;&gt;TRIM(Q75))</f>
        <v>0</v>
      </c>
      <c r="Y66" s="12">
        <v>5</v>
      </c>
      <c r="Z66" s="12">
        <f>IF(E66="Fait",1,0)</f>
        <v>0</v>
      </c>
      <c r="AA66" s="12"/>
      <c r="AB66" s="12"/>
      <c r="AC66" s="12"/>
    </row>
    <row r="67" spans="1:29" ht="30" customHeight="1" x14ac:dyDescent="0.45">
      <c r="A67" s="28" t="s">
        <v>112</v>
      </c>
      <c r="B67" s="71" t="s">
        <v>455</v>
      </c>
      <c r="C67" s="47"/>
      <c r="D67" s="47"/>
      <c r="E67" s="47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spans="1:29" ht="28.05" customHeight="1" x14ac:dyDescent="0.45">
      <c r="A68" s="28" t="s">
        <v>114</v>
      </c>
      <c r="B68" s="73" t="s">
        <v>456</v>
      </c>
      <c r="C68" s="47"/>
      <c r="D68" s="47"/>
      <c r="E68" s="47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 spans="1:29" x14ac:dyDescent="0.4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spans="1:29" ht="16.05" customHeight="1" x14ac:dyDescent="0.45">
      <c r="A70" s="75" t="s">
        <v>116</v>
      </c>
      <c r="B70" s="47"/>
      <c r="C70" s="47"/>
      <c r="D70" s="47"/>
      <c r="E70" s="47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spans="1:29" ht="20" customHeight="1" x14ac:dyDescent="0.45">
      <c r="A71" s="29" t="s">
        <v>457</v>
      </c>
      <c r="B71" s="67" t="s">
        <v>458</v>
      </c>
      <c r="C71" s="68"/>
      <c r="D71" s="69"/>
      <c r="E71" s="31" t="str">
        <f>IF(AND(B71&lt;&gt;"",B71&lt;&gt;Q71),"✔","")</f>
        <v/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 t="s">
        <v>458</v>
      </c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spans="1:29" ht="20" customHeight="1" x14ac:dyDescent="0.45">
      <c r="A72" s="29" t="s">
        <v>459</v>
      </c>
      <c r="B72" s="67" t="s">
        <v>460</v>
      </c>
      <c r="C72" s="68"/>
      <c r="D72" s="69"/>
      <c r="E72" s="31" t="str">
        <f>IF(AND(B72&lt;&gt;"",B72&lt;&gt;Q72),"✔","")</f>
        <v/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 t="s">
        <v>460</v>
      </c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spans="1:29" ht="20" customHeight="1" x14ac:dyDescent="0.45">
      <c r="A73" s="29" t="s">
        <v>461</v>
      </c>
      <c r="B73" s="67" t="s">
        <v>462</v>
      </c>
      <c r="C73" s="68"/>
      <c r="D73" s="69"/>
      <c r="E73" s="31" t="str">
        <f>IF(AND(B73&lt;&gt;"",B73&lt;&gt;Q73),"✔","")</f>
        <v/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 t="s">
        <v>462</v>
      </c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spans="1:29" ht="20" customHeight="1" x14ac:dyDescent="0.45">
      <c r="A74" s="29" t="s">
        <v>463</v>
      </c>
      <c r="B74" s="67" t="s">
        <v>464</v>
      </c>
      <c r="C74" s="68"/>
      <c r="D74" s="69"/>
      <c r="E74" s="31" t="str">
        <f>IF(AND(B74&lt;&gt;"",B74&lt;&gt;Q74),"✔","")</f>
        <v/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 t="s">
        <v>464</v>
      </c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 spans="1:29" ht="20" customHeight="1" x14ac:dyDescent="0.45">
      <c r="A75" s="29" t="s">
        <v>465</v>
      </c>
      <c r="B75" s="67" t="s">
        <v>466</v>
      </c>
      <c r="C75" s="68"/>
      <c r="D75" s="69"/>
      <c r="E75" s="31" t="str">
        <f>IF(AND(B75&lt;&gt;"",B75&lt;&gt;Q75),"✔","")</f>
        <v/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 t="s">
        <v>466</v>
      </c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 spans="1:29" ht="26" customHeight="1" x14ac:dyDescent="0.45">
      <c r="A76" s="48" t="s">
        <v>467</v>
      </c>
      <c r="B76" s="47"/>
      <c r="C76" s="47"/>
      <c r="D76" s="47"/>
      <c r="E76" s="4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 spans="1:29" x14ac:dyDescent="0.4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 spans="1:29" ht="18" customHeight="1" x14ac:dyDescent="0.45">
      <c r="A78" s="70" t="s">
        <v>468</v>
      </c>
      <c r="B78" s="47"/>
      <c r="C78" s="47"/>
      <c r="D78" s="47"/>
      <c r="E78" s="47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 spans="1:29" ht="16.05" hidden="1" customHeight="1" outlineLevel="1" x14ac:dyDescent="0.45">
      <c r="A79" s="48" t="s">
        <v>469</v>
      </c>
      <c r="B79" s="47"/>
      <c r="C79" s="47"/>
      <c r="D79" s="47"/>
      <c r="E79" s="47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 spans="1:29" ht="28.05" hidden="1" customHeight="1" outlineLevel="1" x14ac:dyDescent="0.45">
      <c r="A80" s="29" t="s">
        <v>470</v>
      </c>
      <c r="B80" s="67" t="s">
        <v>471</v>
      </c>
      <c r="C80" s="68"/>
      <c r="D80" s="69"/>
      <c r="E80" s="31" t="str">
        <f t="shared" ref="E80:E85" si="1">IF(AND(B80&lt;&gt;"",B80&lt;&gt;Q80),"✔","")</f>
        <v/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 t="s">
        <v>471</v>
      </c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  <row r="81" spans="1:29" ht="20" hidden="1" customHeight="1" outlineLevel="1" x14ac:dyDescent="0.45">
      <c r="A81" s="29" t="s">
        <v>472</v>
      </c>
      <c r="B81" s="67" t="s">
        <v>473</v>
      </c>
      <c r="C81" s="68"/>
      <c r="D81" s="69"/>
      <c r="E81" s="31" t="str">
        <f t="shared" si="1"/>
        <v/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 t="s">
        <v>473</v>
      </c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  <row r="82" spans="1:29" ht="20" hidden="1" customHeight="1" outlineLevel="1" x14ac:dyDescent="0.45">
      <c r="A82" s="29" t="s">
        <v>474</v>
      </c>
      <c r="B82" s="67" t="s">
        <v>475</v>
      </c>
      <c r="C82" s="68"/>
      <c r="D82" s="69"/>
      <c r="E82" s="31" t="str">
        <f t="shared" si="1"/>
        <v/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 t="s">
        <v>475</v>
      </c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</row>
    <row r="83" spans="1:29" ht="28.05" hidden="1" customHeight="1" outlineLevel="1" x14ac:dyDescent="0.45">
      <c r="A83" s="29" t="s">
        <v>476</v>
      </c>
      <c r="B83" s="67" t="s">
        <v>477</v>
      </c>
      <c r="C83" s="68"/>
      <c r="D83" s="69"/>
      <c r="E83" s="31" t="str">
        <f t="shared" si="1"/>
        <v/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 t="s">
        <v>477</v>
      </c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</row>
    <row r="84" spans="1:29" ht="28.05" hidden="1" customHeight="1" outlineLevel="1" x14ac:dyDescent="0.45">
      <c r="A84" s="29" t="s">
        <v>478</v>
      </c>
      <c r="B84" s="67" t="s">
        <v>479</v>
      </c>
      <c r="C84" s="68"/>
      <c r="D84" s="69"/>
      <c r="E84" s="31" t="str">
        <f t="shared" si="1"/>
        <v/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 t="s">
        <v>479</v>
      </c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</row>
    <row r="85" spans="1:29" ht="28.05" hidden="1" customHeight="1" outlineLevel="1" x14ac:dyDescent="0.45">
      <c r="A85" s="29" t="s">
        <v>480</v>
      </c>
      <c r="B85" s="67"/>
      <c r="C85" s="68"/>
      <c r="D85" s="69"/>
      <c r="E85" s="31" t="str">
        <f t="shared" si="1"/>
        <v/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spans="1:29" x14ac:dyDescent="0.4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 spans="1:29" x14ac:dyDescent="0.4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 spans="1:29" ht="30" customHeight="1" x14ac:dyDescent="0.45">
      <c r="A88" s="76" t="str">
        <f>IF(MIN(Z2,Z1)&gt;=Z1,"✅  MOUVEMENT TERMINÉ  —  Vous détenez ce qui ne se copie pas. Votre valeur cesse de dépendre de ce que la machine sait faire cette année.","Il vous reste "&amp;(Z1-MIN(Z2,Z1))&amp;" geste"&amp;IF(Z1-MIN(Z2,Z1)&gt;1,"s","")&amp;" pour débloquer ce que ce mouvement vous apporte.")</f>
        <v>Il vous reste 4 gestes pour débloquer ce que ce mouvement vous apporte.</v>
      </c>
      <c r="B88" s="77"/>
      <c r="C88" s="77"/>
      <c r="D88" s="77"/>
      <c r="E88" s="78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spans="1:29" x14ac:dyDescent="0.4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 spans="1:29" x14ac:dyDescent="0.4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 spans="1:29" x14ac:dyDescent="0.4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spans="1:29" x14ac:dyDescent="0.4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spans="1:29" x14ac:dyDescent="0.4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spans="1:29" x14ac:dyDescent="0.4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spans="1:29" x14ac:dyDescent="0.4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 spans="1:29" x14ac:dyDescent="0.4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spans="1:29" x14ac:dyDescent="0.4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spans="1:29" x14ac:dyDescent="0.4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spans="1:29" x14ac:dyDescent="0.4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 spans="1:29" x14ac:dyDescent="0.4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</sheetData>
  <mergeCells count="71">
    <mergeCell ref="B85:D85"/>
    <mergeCell ref="B32:D32"/>
    <mergeCell ref="B50:D50"/>
    <mergeCell ref="A33:E33"/>
    <mergeCell ref="A76:E76"/>
    <mergeCell ref="A47:E47"/>
    <mergeCell ref="B62:D62"/>
    <mergeCell ref="B75:D75"/>
    <mergeCell ref="B54:D54"/>
    <mergeCell ref="A66:D66"/>
    <mergeCell ref="B67:E67"/>
    <mergeCell ref="B81:D81"/>
    <mergeCell ref="B72:D72"/>
    <mergeCell ref="A35:E35"/>
    <mergeCell ref="B59:D59"/>
    <mergeCell ref="B71:D71"/>
    <mergeCell ref="A88:E88"/>
    <mergeCell ref="B38:D38"/>
    <mergeCell ref="A70:E70"/>
    <mergeCell ref="A79:E79"/>
    <mergeCell ref="B10:D10"/>
    <mergeCell ref="B45:E45"/>
    <mergeCell ref="B37:D37"/>
    <mergeCell ref="A78:E78"/>
    <mergeCell ref="A16:E16"/>
    <mergeCell ref="B84:D84"/>
    <mergeCell ref="B40:D40"/>
    <mergeCell ref="B74:D74"/>
    <mergeCell ref="A46:E46"/>
    <mergeCell ref="B83:D83"/>
    <mergeCell ref="B15:D15"/>
    <mergeCell ref="A18:E18"/>
    <mergeCell ref="A1:E1"/>
    <mergeCell ref="A43:D43"/>
    <mergeCell ref="B53:D53"/>
    <mergeCell ref="A36:E36"/>
    <mergeCell ref="B82:D82"/>
    <mergeCell ref="B7:E7"/>
    <mergeCell ref="B3:E3"/>
    <mergeCell ref="B51:D51"/>
    <mergeCell ref="B20:D20"/>
    <mergeCell ref="A55:E55"/>
    <mergeCell ref="B27:E27"/>
    <mergeCell ref="B80:D80"/>
    <mergeCell ref="A57:E57"/>
    <mergeCell ref="A2:E2"/>
    <mergeCell ref="B63:D63"/>
    <mergeCell ref="B31:D31"/>
    <mergeCell ref="B61:D61"/>
    <mergeCell ref="B6:E6"/>
    <mergeCell ref="B68:E68"/>
    <mergeCell ref="A49:E49"/>
    <mergeCell ref="B73:D73"/>
    <mergeCell ref="B13:D13"/>
    <mergeCell ref="B22:D22"/>
    <mergeCell ref="A26:D26"/>
    <mergeCell ref="B44:E44"/>
    <mergeCell ref="A19:E19"/>
    <mergeCell ref="B52:D52"/>
    <mergeCell ref="B21:D21"/>
    <mergeCell ref="B12:D12"/>
    <mergeCell ref="B39:D39"/>
    <mergeCell ref="B28:E28"/>
    <mergeCell ref="A9:E9"/>
    <mergeCell ref="A30:E30"/>
    <mergeCell ref="A5:D5"/>
    <mergeCell ref="B11:D11"/>
    <mergeCell ref="B60:D60"/>
    <mergeCell ref="B14:D14"/>
    <mergeCell ref="A58:E58"/>
    <mergeCell ref="B23:D23"/>
  </mergeCells>
  <conditionalFormatting sqref="A88:E88">
    <cfRule type="expression" dxfId="33" priority="2" stopIfTrue="1">
      <formula>MIN($Z$2,$Z$1)&gt;=$Z$1</formula>
    </cfRule>
    <cfRule type="expression" dxfId="32" priority="3" stopIfTrue="1">
      <formula>MIN($Z$2,$Z$1)&lt;$Z$1</formula>
    </cfRule>
  </conditionalFormatting>
  <conditionalFormatting sqref="B3:D3">
    <cfRule type="dataBar" priority="1">
      <dataBar>
        <cfvo type="num" val="0"/>
        <cfvo type="num" val="1"/>
        <color rgb="FF27AE60"/>
      </dataBar>
    </cfRule>
  </conditionalFormatting>
  <conditionalFormatting sqref="B10:E15">
    <cfRule type="expression" dxfId="31" priority="4" stopIfTrue="1">
      <formula>AND($B10&lt;&gt;"",$B10=$Q10)</formula>
    </cfRule>
    <cfRule type="expression" dxfId="30" priority="5" stopIfTrue="1">
      <formula>$B10&lt;&gt;""</formula>
    </cfRule>
  </conditionalFormatting>
  <conditionalFormatting sqref="B20:E23">
    <cfRule type="expression" dxfId="29" priority="16" stopIfTrue="1">
      <formula>AND($B20&lt;&gt;"",$B20=$Q20)</formula>
    </cfRule>
    <cfRule type="expression" dxfId="28" priority="17" stopIfTrue="1">
      <formula>$B20&lt;&gt;""</formula>
    </cfRule>
  </conditionalFormatting>
  <conditionalFormatting sqref="B31:E32">
    <cfRule type="expression" dxfId="27" priority="25" stopIfTrue="1">
      <formula>$B31&lt;&gt;""</formula>
    </cfRule>
    <cfRule type="expression" dxfId="26" priority="24" stopIfTrue="1">
      <formula>AND($B31&lt;&gt;"",$B31=$Q31)</formula>
    </cfRule>
  </conditionalFormatting>
  <conditionalFormatting sqref="B37:E40">
    <cfRule type="expression" dxfId="25" priority="28" stopIfTrue="1">
      <formula>AND($B37&lt;&gt;"",$B37=$Q37)</formula>
    </cfRule>
    <cfRule type="expression" dxfId="24" priority="29" stopIfTrue="1">
      <formula>$B37&lt;&gt;""</formula>
    </cfRule>
  </conditionalFormatting>
  <conditionalFormatting sqref="B50:E54">
    <cfRule type="expression" dxfId="23" priority="37" stopIfTrue="1">
      <formula>$B50&lt;&gt;""</formula>
    </cfRule>
    <cfRule type="expression" dxfId="22" priority="36" stopIfTrue="1">
      <formula>AND($B50&lt;&gt;"",$B50=$Q50)</formula>
    </cfRule>
  </conditionalFormatting>
  <conditionalFormatting sqref="B59:E63">
    <cfRule type="expression" dxfId="21" priority="46" stopIfTrue="1">
      <formula>AND($B59&lt;&gt;"",$B59=$Q59)</formula>
    </cfRule>
    <cfRule type="expression" dxfId="20" priority="47" stopIfTrue="1">
      <formula>$B59&lt;&gt;""</formula>
    </cfRule>
  </conditionalFormatting>
  <conditionalFormatting sqref="B71:E75">
    <cfRule type="expression" dxfId="19" priority="56" stopIfTrue="1">
      <formula>AND($B71&lt;&gt;"",$B71=$Q71)</formula>
    </cfRule>
    <cfRule type="expression" dxfId="18" priority="57" stopIfTrue="1">
      <formula>$B71&lt;&gt;""</formula>
    </cfRule>
  </conditionalFormatting>
  <conditionalFormatting sqref="B80:E85">
    <cfRule type="expression" dxfId="17" priority="66" stopIfTrue="1">
      <formula>AND($B80&lt;&gt;"",$B80=$Q80)</formula>
    </cfRule>
    <cfRule type="expression" dxfId="16" priority="67" stopIfTrue="1">
      <formula>$B80&lt;&gt;""</formula>
    </cfRule>
  </conditionalFormatting>
  <conditionalFormatting sqref="E5">
    <cfRule type="cellIs" dxfId="15" priority="78" operator="equal">
      <formula>"Fait"</formula>
    </cfRule>
    <cfRule type="cellIs" dxfId="14" priority="79" operator="equal">
      <formula>"En cours"</formula>
    </cfRule>
    <cfRule type="cellIs" dxfId="13" priority="80" operator="equal">
      <formula>"À faire"</formula>
    </cfRule>
  </conditionalFormatting>
  <conditionalFormatting sqref="E26">
    <cfRule type="cellIs" dxfId="12" priority="81" operator="equal">
      <formula>"Fait"</formula>
    </cfRule>
    <cfRule type="cellIs" dxfId="11" priority="82" operator="equal">
      <formula>"En cours"</formula>
    </cfRule>
    <cfRule type="cellIs" dxfId="10" priority="83" operator="equal">
      <formula>"À faire"</formula>
    </cfRule>
  </conditionalFormatting>
  <conditionalFormatting sqref="E43">
    <cfRule type="cellIs" dxfId="9" priority="84" operator="equal">
      <formula>"Fait"</formula>
    </cfRule>
    <cfRule type="cellIs" dxfId="8" priority="85" operator="equal">
      <formula>"En cours"</formula>
    </cfRule>
    <cfRule type="cellIs" dxfId="7" priority="86" operator="equal">
      <formula>"À faire"</formula>
    </cfRule>
  </conditionalFormatting>
  <conditionalFormatting sqref="E66">
    <cfRule type="cellIs" dxfId="6" priority="87" operator="equal">
      <formula>"Fait"</formula>
    </cfRule>
    <cfRule type="cellIs" dxfId="5" priority="88" operator="equal">
      <formula>"En cours"</formula>
    </cfRule>
    <cfRule type="cellIs" dxfId="4" priority="89" operator="equal">
      <formula>"À faire"</formula>
    </cfRule>
  </conditionalFormatting>
  <dataValidations count="2">
    <dataValidation type="list" allowBlank="1" error="Choisissez une valeur dans la liste." sqref="B63" xr:uid="{00000000-0002-0000-0500-000000000000}">
      <formula1>"Mes droits individuels,Le budget de mon employeur,Un moment de transition"</formula1>
    </dataValidation>
    <dataValidation type="list" allowBlank="1" error="Choisissez une valeur dans la liste." sqref="B85" xr:uid="{00000000-0002-0000-0500-000001000000}">
      <formula1>"Oui,Pas encore"</formula1>
    </dataValidation>
  </dataValidations>
  <printOptions horizontalCentered="1"/>
  <pageMargins left="0.4" right="0.4" top="0.5" bottom="0.5" header="0.5" footer="0.5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  <pageSetUpPr fitToPage="1"/>
  </sheetPr>
  <dimension ref="A1:AC60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06640625" defaultRowHeight="14.25" x14ac:dyDescent="0.45"/>
  <cols>
    <col min="1" max="1" width="20" customWidth="1"/>
    <col min="2" max="2" width="42" customWidth="1"/>
    <col min="3" max="3" width="36" customWidth="1"/>
    <col min="4" max="4" width="16" customWidth="1"/>
    <col min="5" max="5" width="14" customWidth="1"/>
    <col min="6" max="6" width="6" customWidth="1"/>
    <col min="24" max="26" width="13" hidden="1" customWidth="1"/>
  </cols>
  <sheetData>
    <row r="1" spans="1:29" ht="30" customHeight="1" x14ac:dyDescent="0.6">
      <c r="A1" s="84" t="s">
        <v>481</v>
      </c>
      <c r="B1" s="47"/>
      <c r="C1" s="47"/>
      <c r="D1" s="47"/>
      <c r="E1" s="47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>
        <f>COUNTIF(E7:E12,"Fait")</f>
        <v>0</v>
      </c>
      <c r="AA1" s="12"/>
      <c r="AB1" s="12"/>
      <c r="AC1" s="12"/>
    </row>
    <row r="2" spans="1:29" x14ac:dyDescent="0.45">
      <c r="A2" s="57" t="s">
        <v>482</v>
      </c>
      <c r="B2" s="47"/>
      <c r="C2" s="47"/>
      <c r="D2" s="47"/>
      <c r="E2" s="47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>
        <f>SUMPRODUCT(--((LEN(B17:B28)+LEN(C17:C28)+LEN(D17:D28))&gt;0))</f>
        <v>0</v>
      </c>
      <c r="AA2" s="12"/>
      <c r="AB2" s="12"/>
      <c r="AC2" s="12"/>
    </row>
    <row r="3" spans="1:29" ht="22.05" customHeight="1" x14ac:dyDescent="0.45">
      <c r="A3" s="16" t="str">
        <f>"Votre avancée : "&amp;Z1&amp;" quinzaines sur 6, "&amp;Z2&amp;" quarts d’heure sur 12"</f>
        <v>Votre avancée : 0 quinzaines sur 6, 0 quarts d’heure sur 12</v>
      </c>
      <c r="B3" s="85">
        <f>(Z1/6+MIN(Z2,12)/12)/2</f>
        <v>0</v>
      </c>
      <c r="C3" s="47"/>
      <c r="D3" s="47"/>
      <c r="E3" s="47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>
        <f>SUMPRODUCT(--(B33:B44&lt;&gt;""))</f>
        <v>0</v>
      </c>
      <c r="AA3" s="12"/>
      <c r="AB3" s="12"/>
      <c r="AC3" s="12"/>
    </row>
    <row r="4" spans="1:29" x14ac:dyDescent="0.4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24" customHeight="1" x14ac:dyDescent="0.45">
      <c r="A5" s="82" t="s">
        <v>483</v>
      </c>
      <c r="B5" s="52"/>
      <c r="C5" s="52"/>
      <c r="D5" s="52"/>
      <c r="E5" s="1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x14ac:dyDescent="0.45">
      <c r="A6" s="23" t="s">
        <v>484</v>
      </c>
      <c r="B6" s="23" t="s">
        <v>485</v>
      </c>
      <c r="C6" s="23" t="s">
        <v>486</v>
      </c>
      <c r="D6" s="23" t="s">
        <v>487</v>
      </c>
      <c r="E6" s="23" t="s">
        <v>488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66" customHeight="1" x14ac:dyDescent="0.45">
      <c r="A7" s="40" t="s">
        <v>489</v>
      </c>
      <c r="B7" s="29" t="s">
        <v>490</v>
      </c>
      <c r="C7" s="30" t="s">
        <v>491</v>
      </c>
      <c r="D7" s="41" t="s">
        <v>492</v>
      </c>
      <c r="E7" s="4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ht="66" customHeight="1" x14ac:dyDescent="0.45">
      <c r="A8" s="40" t="s">
        <v>493</v>
      </c>
      <c r="B8" s="29" t="s">
        <v>494</v>
      </c>
      <c r="C8" s="30" t="s">
        <v>495</v>
      </c>
      <c r="D8" s="41" t="s">
        <v>496</v>
      </c>
      <c r="E8" s="4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66" customHeight="1" x14ac:dyDescent="0.45">
      <c r="A9" s="40" t="s">
        <v>497</v>
      </c>
      <c r="B9" s="29" t="s">
        <v>498</v>
      </c>
      <c r="C9" s="30" t="s">
        <v>499</v>
      </c>
      <c r="D9" s="41" t="s">
        <v>500</v>
      </c>
      <c r="E9" s="4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66" customHeight="1" x14ac:dyDescent="0.45">
      <c r="A10" s="40" t="s">
        <v>501</v>
      </c>
      <c r="B10" s="29" t="s">
        <v>502</v>
      </c>
      <c r="C10" s="30" t="s">
        <v>503</v>
      </c>
      <c r="D10" s="41" t="s">
        <v>504</v>
      </c>
      <c r="E10" s="4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66" customHeight="1" x14ac:dyDescent="0.45">
      <c r="A11" s="40" t="s">
        <v>505</v>
      </c>
      <c r="B11" s="29" t="s">
        <v>506</v>
      </c>
      <c r="C11" s="30" t="s">
        <v>507</v>
      </c>
      <c r="D11" s="41" t="s">
        <v>508</v>
      </c>
      <c r="E11" s="4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66" customHeight="1" x14ac:dyDescent="0.45">
      <c r="A12" s="40" t="s">
        <v>509</v>
      </c>
      <c r="B12" s="29" t="s">
        <v>510</v>
      </c>
      <c r="C12" s="30" t="s">
        <v>511</v>
      </c>
      <c r="D12" s="41" t="s">
        <v>512</v>
      </c>
      <c r="E12" s="4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x14ac:dyDescent="0.4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ht="24" customHeight="1" x14ac:dyDescent="0.45">
      <c r="A14" s="82" t="s">
        <v>513</v>
      </c>
      <c r="B14" s="52"/>
      <c r="C14" s="52"/>
      <c r="D14" s="52"/>
      <c r="E14" s="14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x14ac:dyDescent="0.45">
      <c r="A15" s="48" t="s">
        <v>514</v>
      </c>
      <c r="B15" s="47"/>
      <c r="C15" s="47"/>
      <c r="D15" s="47"/>
      <c r="E15" s="47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30" customHeight="1" x14ac:dyDescent="0.45">
      <c r="A16" s="23" t="s">
        <v>515</v>
      </c>
      <c r="B16" s="23" t="s">
        <v>516</v>
      </c>
      <c r="C16" s="23" t="s">
        <v>517</v>
      </c>
      <c r="D16" s="23" t="s">
        <v>518</v>
      </c>
      <c r="E16" s="23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ht="22.05" customHeight="1" x14ac:dyDescent="0.45">
      <c r="A17" s="41" t="s">
        <v>519</v>
      </c>
      <c r="B17" s="43"/>
      <c r="C17" s="43"/>
      <c r="D17" s="43"/>
      <c r="E17" s="44" t="str">
        <f t="shared" ref="E17:E28" si="0">IF(LEN(B17)+LEN(C17)+LEN(D17)&gt;0,"✔ tenu","")</f>
        <v/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ht="22.05" customHeight="1" x14ac:dyDescent="0.45">
      <c r="A18" s="41" t="s">
        <v>520</v>
      </c>
      <c r="B18" s="43"/>
      <c r="C18" s="43"/>
      <c r="D18" s="43"/>
      <c r="E18" s="44" t="str">
        <f t="shared" si="0"/>
        <v/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ht="22.05" customHeight="1" x14ac:dyDescent="0.45">
      <c r="A19" s="41" t="s">
        <v>521</v>
      </c>
      <c r="B19" s="43"/>
      <c r="C19" s="43"/>
      <c r="D19" s="43"/>
      <c r="E19" s="44" t="str">
        <f t="shared" si="0"/>
        <v/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ht="22.05" customHeight="1" x14ac:dyDescent="0.45">
      <c r="A20" s="41" t="s">
        <v>522</v>
      </c>
      <c r="B20" s="43"/>
      <c r="C20" s="43"/>
      <c r="D20" s="43"/>
      <c r="E20" s="44" t="str">
        <f t="shared" si="0"/>
        <v/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ht="22.05" customHeight="1" x14ac:dyDescent="0.45">
      <c r="A21" s="41" t="s">
        <v>523</v>
      </c>
      <c r="B21" s="43"/>
      <c r="C21" s="43"/>
      <c r="D21" s="43"/>
      <c r="E21" s="44" t="str">
        <f t="shared" si="0"/>
        <v/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22.05" customHeight="1" x14ac:dyDescent="0.45">
      <c r="A22" s="41" t="s">
        <v>524</v>
      </c>
      <c r="B22" s="43"/>
      <c r="C22" s="43"/>
      <c r="D22" s="43"/>
      <c r="E22" s="44" t="str">
        <f t="shared" si="0"/>
        <v/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22.05" customHeight="1" x14ac:dyDescent="0.45">
      <c r="A23" s="41" t="s">
        <v>525</v>
      </c>
      <c r="B23" s="43"/>
      <c r="C23" s="43"/>
      <c r="D23" s="43"/>
      <c r="E23" s="44" t="str">
        <f t="shared" si="0"/>
        <v/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ht="22.05" customHeight="1" x14ac:dyDescent="0.45">
      <c r="A24" s="41" t="s">
        <v>526</v>
      </c>
      <c r="B24" s="43"/>
      <c r="C24" s="43"/>
      <c r="D24" s="43"/>
      <c r="E24" s="44" t="str">
        <f t="shared" si="0"/>
        <v/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ht="22.05" customHeight="1" x14ac:dyDescent="0.45">
      <c r="A25" s="41" t="s">
        <v>527</v>
      </c>
      <c r="B25" s="43"/>
      <c r="C25" s="43"/>
      <c r="D25" s="43"/>
      <c r="E25" s="44" t="str">
        <f t="shared" si="0"/>
        <v/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ht="22.05" customHeight="1" x14ac:dyDescent="0.45">
      <c r="A26" s="41" t="s">
        <v>528</v>
      </c>
      <c r="B26" s="43"/>
      <c r="C26" s="43"/>
      <c r="D26" s="43"/>
      <c r="E26" s="44" t="str">
        <f t="shared" si="0"/>
        <v/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 ht="22.05" customHeight="1" x14ac:dyDescent="0.45">
      <c r="A27" s="41" t="s">
        <v>529</v>
      </c>
      <c r="B27" s="43"/>
      <c r="C27" s="43"/>
      <c r="D27" s="43"/>
      <c r="E27" s="44" t="str">
        <f t="shared" si="0"/>
        <v/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 ht="22.05" customHeight="1" x14ac:dyDescent="0.45">
      <c r="A28" s="41" t="s">
        <v>530</v>
      </c>
      <c r="B28" s="43"/>
      <c r="C28" s="43"/>
      <c r="D28" s="43"/>
      <c r="E28" s="44" t="str">
        <f t="shared" si="0"/>
        <v/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x14ac:dyDescent="0.4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 ht="24" customHeight="1" x14ac:dyDescent="0.45">
      <c r="A30" s="82" t="s">
        <v>531</v>
      </c>
      <c r="B30" s="52"/>
      <c r="C30" s="52"/>
      <c r="D30" s="52"/>
      <c r="E30" s="14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x14ac:dyDescent="0.45">
      <c r="A31" s="48" t="s">
        <v>532</v>
      </c>
      <c r="B31" s="47"/>
      <c r="C31" s="47"/>
      <c r="D31" s="47"/>
      <c r="E31" s="47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 ht="30" customHeight="1" x14ac:dyDescent="0.45">
      <c r="A32" s="23" t="s">
        <v>386</v>
      </c>
      <c r="B32" s="23" t="s">
        <v>388</v>
      </c>
      <c r="C32" s="23" t="s">
        <v>533</v>
      </c>
      <c r="D32" s="23" t="s">
        <v>394</v>
      </c>
      <c r="E32" s="23" t="s">
        <v>534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ht="22.05" customHeight="1" x14ac:dyDescent="0.45">
      <c r="A33" s="43"/>
      <c r="B33" s="43"/>
      <c r="C33" s="43"/>
      <c r="D33" s="43"/>
      <c r="E33" s="43"/>
      <c r="F33" s="45" t="str">
        <f t="shared" ref="F33:F44" si="1">IF(B33&lt;&gt;"","✔","")</f>
        <v/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ht="22.05" customHeight="1" x14ac:dyDescent="0.45">
      <c r="A34" s="43"/>
      <c r="B34" s="43"/>
      <c r="C34" s="43"/>
      <c r="D34" s="43"/>
      <c r="E34" s="43"/>
      <c r="F34" s="45" t="str">
        <f t="shared" si="1"/>
        <v/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ht="22.05" customHeight="1" x14ac:dyDescent="0.45">
      <c r="A35" s="43"/>
      <c r="B35" s="43"/>
      <c r="C35" s="43"/>
      <c r="D35" s="43"/>
      <c r="E35" s="43"/>
      <c r="F35" s="45" t="str">
        <f t="shared" si="1"/>
        <v/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ht="22.05" customHeight="1" x14ac:dyDescent="0.45">
      <c r="A36" s="43"/>
      <c r="B36" s="43"/>
      <c r="C36" s="43"/>
      <c r="D36" s="43"/>
      <c r="E36" s="43"/>
      <c r="F36" s="45" t="str">
        <f t="shared" si="1"/>
        <v/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ht="22.05" customHeight="1" x14ac:dyDescent="0.45">
      <c r="A37" s="43"/>
      <c r="B37" s="43"/>
      <c r="C37" s="43"/>
      <c r="D37" s="43"/>
      <c r="E37" s="43"/>
      <c r="F37" s="45" t="str">
        <f t="shared" si="1"/>
        <v/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ht="22.05" customHeight="1" x14ac:dyDescent="0.45">
      <c r="A38" s="43"/>
      <c r="B38" s="43"/>
      <c r="C38" s="43"/>
      <c r="D38" s="43"/>
      <c r="E38" s="43"/>
      <c r="F38" s="45" t="str">
        <f t="shared" si="1"/>
        <v/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ht="22.05" customHeight="1" x14ac:dyDescent="0.45">
      <c r="A39" s="43"/>
      <c r="B39" s="43"/>
      <c r="C39" s="43"/>
      <c r="D39" s="43"/>
      <c r="E39" s="43"/>
      <c r="F39" s="45" t="str">
        <f t="shared" si="1"/>
        <v/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ht="22.05" customHeight="1" x14ac:dyDescent="0.45">
      <c r="A40" s="43"/>
      <c r="B40" s="43"/>
      <c r="C40" s="43"/>
      <c r="D40" s="43"/>
      <c r="E40" s="43"/>
      <c r="F40" s="45" t="str">
        <f t="shared" si="1"/>
        <v/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29" ht="22.05" customHeight="1" x14ac:dyDescent="0.45">
      <c r="A41" s="43"/>
      <c r="B41" s="43"/>
      <c r="C41" s="43"/>
      <c r="D41" s="43"/>
      <c r="E41" s="43"/>
      <c r="F41" s="45" t="str">
        <f t="shared" si="1"/>
        <v/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 ht="22.05" customHeight="1" x14ac:dyDescent="0.45">
      <c r="A42" s="43"/>
      <c r="B42" s="43"/>
      <c r="C42" s="43"/>
      <c r="D42" s="43"/>
      <c r="E42" s="43"/>
      <c r="F42" s="45" t="str">
        <f t="shared" si="1"/>
        <v/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ht="22.05" customHeight="1" x14ac:dyDescent="0.45">
      <c r="A43" s="43"/>
      <c r="B43" s="43"/>
      <c r="C43" s="43"/>
      <c r="D43" s="43"/>
      <c r="E43" s="43"/>
      <c r="F43" s="45" t="str">
        <f t="shared" si="1"/>
        <v/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ht="22.05" customHeight="1" x14ac:dyDescent="0.45">
      <c r="A44" s="43"/>
      <c r="B44" s="43"/>
      <c r="C44" s="43"/>
      <c r="D44" s="43"/>
      <c r="E44" s="43"/>
      <c r="F44" s="45" t="str">
        <f t="shared" si="1"/>
        <v/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x14ac:dyDescent="0.4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x14ac:dyDescent="0.4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ht="30" customHeight="1" x14ac:dyDescent="0.45">
      <c r="A47" s="83" t="s">
        <v>535</v>
      </c>
      <c r="B47" s="61"/>
      <c r="C47" s="61"/>
      <c r="D47" s="61"/>
      <c r="E47" s="61"/>
      <c r="F47" s="6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ht="24" customHeight="1" x14ac:dyDescent="0.45">
      <c r="A48" s="86" t="s">
        <v>536</v>
      </c>
      <c r="B48" s="47"/>
      <c r="C48" s="47"/>
      <c r="D48" s="47"/>
      <c r="E48" s="47"/>
      <c r="F48" s="47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x14ac:dyDescent="0.4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x14ac:dyDescent="0.4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x14ac:dyDescent="0.4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x14ac:dyDescent="0.4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x14ac:dyDescent="0.4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x14ac:dyDescent="0.4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x14ac:dyDescent="0.4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x14ac:dyDescent="0.4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spans="1:29" x14ac:dyDescent="0.4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spans="1:29" x14ac:dyDescent="0.4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spans="1:29" x14ac:dyDescent="0.4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spans="1:29" x14ac:dyDescent="0.4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</sheetData>
  <mergeCells count="10">
    <mergeCell ref="A1:E1"/>
    <mergeCell ref="B3:E3"/>
    <mergeCell ref="A31:E31"/>
    <mergeCell ref="A48:F48"/>
    <mergeCell ref="A14:D14"/>
    <mergeCell ref="A5:D5"/>
    <mergeCell ref="A47:F47"/>
    <mergeCell ref="A2:E2"/>
    <mergeCell ref="A15:E15"/>
    <mergeCell ref="A30:D30"/>
  </mergeCells>
  <conditionalFormatting sqref="A33:E44">
    <cfRule type="expression" dxfId="3" priority="3">
      <formula>$A33&lt;&gt;""</formula>
    </cfRule>
  </conditionalFormatting>
  <conditionalFormatting sqref="B3:D3">
    <cfRule type="dataBar" priority="1">
      <dataBar>
        <cfvo type="num" val="0"/>
        <cfvo type="num" val="1"/>
        <color rgb="FF27AE60"/>
      </dataBar>
    </cfRule>
  </conditionalFormatting>
  <conditionalFormatting sqref="B17:D28">
    <cfRule type="expression" dxfId="2" priority="2">
      <formula>$B17&lt;&gt;""</formula>
    </cfRule>
  </conditionalFormatting>
  <conditionalFormatting sqref="E7:E12">
    <cfRule type="cellIs" dxfId="1" priority="4" operator="equal">
      <formula>"Fait"</formula>
    </cfRule>
    <cfRule type="cellIs" dxfId="0" priority="5" operator="equal">
      <formula>"En cours"</formula>
    </cfRule>
  </conditionalFormatting>
  <dataValidations count="1">
    <dataValidation type="list" allowBlank="1" sqref="E7 E8 E9 E10 E11 E12" xr:uid="{00000000-0002-0000-0600-000000000000}">
      <formula1>"À faire,En cours,Fait"</formula1>
    </dataValidation>
  </dataValidations>
  <hyperlinks>
    <hyperlink ref="A48" r:id="rId1" xr:uid="{00000000-0004-0000-0600-000000000000}"/>
  </hyperlinks>
  <printOptions horizontalCentered="1"/>
  <pageMargins left="0.4" right="0.4" top="0.5" bottom="0.5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12</vt:i4>
      </vt:variant>
    </vt:vector>
  </HeadingPairs>
  <TitlesOfParts>
    <vt:vector size="19" baseType="lpstr">
      <vt:lpstr>Bienvenue</vt:lpstr>
      <vt:lpstr>Cockpit</vt:lpstr>
      <vt:lpstr>1 Voir clair</vt:lpstr>
      <vt:lpstr>2 Se situer</vt:lpstr>
      <vt:lpstr>3 Se déplacer</vt:lpstr>
      <vt:lpstr>4 Prendre son avance</vt:lpstr>
      <vt:lpstr>Mes 90 jours</vt:lpstr>
      <vt:lpstr>'1 Voir clair'!Impression_des_titres</vt:lpstr>
      <vt:lpstr>'2 Se situer'!Impression_des_titres</vt:lpstr>
      <vt:lpstr>'3 Se déplacer'!Impression_des_titres</vt:lpstr>
      <vt:lpstr>'4 Prendre son avance'!Impression_des_titres</vt:lpstr>
      <vt:lpstr>'Mes 90 jours'!Impression_des_titres</vt:lpstr>
      <vt:lpstr>'1 Voir clair'!Zone_d_impression</vt:lpstr>
      <vt:lpstr>'2 Se situer'!Zone_d_impression</vt:lpstr>
      <vt:lpstr>'3 Se déplacer'!Zone_d_impression</vt:lpstr>
      <vt:lpstr>'4 Prendre son avance'!Zone_d_impression</vt:lpstr>
      <vt:lpstr>Bienvenue!Zone_d_impression</vt:lpstr>
      <vt:lpstr>Cockpit!Zone_d_impression</vt:lpstr>
      <vt:lpstr>'Mes 90 jours'!Zone_d_impression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Florian HOHWEILLER</cp:lastModifiedBy>
  <dcterms:created xsi:type="dcterms:W3CDTF">2026-07-23T15:03:12Z</dcterms:created>
  <dcterms:modified xsi:type="dcterms:W3CDTF">2026-07-23T15:07:16Z</dcterms:modified>
</cp:coreProperties>
</file>